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REDATOR\Dropbox\For Web\New folder\Downloads and calculators\"/>
    </mc:Choice>
  </mc:AlternateContent>
  <xr:revisionPtr revIDLastSave="0" documentId="13_ncr:1_{E2696676-775A-4D31-8389-9CB83774D071}" xr6:coauthVersionLast="47" xr6:coauthVersionMax="47" xr10:uidLastSave="{00000000-0000-0000-0000-000000000000}"/>
  <bookViews>
    <workbookView xWindow="-108" yWindow="-108" windowWidth="23256" windowHeight="12456" tabRatio="530" firstSheet="1" activeTab="4" xr2:uid="{00000000-000D-0000-FFFF-FFFF00000000}"/>
  </bookViews>
  <sheets>
    <sheet name="Str of concrete" sheetId="5" r:id="rId1"/>
    <sheet name="Cylindrial Tank Capacity" sheetId="4" r:id="rId2"/>
    <sheet name="land area" sheetId="1" r:id="rId3"/>
    <sheet name="SWG to mm" sheetId="2" r:id="rId4"/>
    <sheet name="Pour Card" sheetId="3" r:id="rId5"/>
  </sheets>
  <definedNames>
    <definedName name="_xlnm.Print_Area" localSheetId="4">'Pour Card'!$A$1:$F$36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0" i="2" l="1"/>
  <c r="F7" i="2"/>
  <c r="F8" i="2"/>
  <c r="F9" i="2"/>
  <c r="F10" i="2"/>
  <c r="F11" i="2"/>
  <c r="F12" i="2"/>
  <c r="F13" i="2"/>
  <c r="F14" i="2"/>
  <c r="J6" i="2"/>
  <c r="F6" i="2"/>
  <c r="F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5" i="2"/>
  <c r="I4" i="2"/>
  <c r="F5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" i="2"/>
  <c r="H16" i="2"/>
  <c r="C7" i="5"/>
  <c r="H6" i="1"/>
  <c r="F6" i="1"/>
  <c r="H7" i="1"/>
  <c r="F7" i="1"/>
  <c r="H8" i="1"/>
  <c r="F8" i="1"/>
  <c r="H9" i="1"/>
  <c r="F9" i="1"/>
  <c r="H10" i="1"/>
  <c r="F10" i="1"/>
  <c r="H11" i="1"/>
  <c r="F11" i="1"/>
  <c r="H12" i="1"/>
  <c r="F12" i="1"/>
  <c r="F13" i="1"/>
  <c r="F19" i="1"/>
  <c r="F25" i="1"/>
  <c r="F26" i="1"/>
  <c r="J26" i="1"/>
  <c r="L19" i="1"/>
  <c r="F20" i="1"/>
  <c r="F21" i="1"/>
  <c r="F22" i="1"/>
  <c r="F23" i="1"/>
  <c r="C6" i="4"/>
  <c r="C7" i="4"/>
  <c r="F27" i="1"/>
  <c r="F28" i="1"/>
  <c r="F29" i="1"/>
  <c r="F30" i="1"/>
  <c r="J27" i="1"/>
  <c r="J28" i="1"/>
  <c r="J29" i="1"/>
  <c r="J30" i="1"/>
  <c r="L20" i="1"/>
  <c r="N20" i="1"/>
  <c r="N21" i="1"/>
  <c r="L21" i="1"/>
  <c r="N22" i="1"/>
  <c r="L22" i="1"/>
  <c r="L23" i="1"/>
</calcChain>
</file>

<file path=xl/sharedStrings.xml><?xml version="1.0" encoding="utf-8"?>
<sst xmlns="http://schemas.openxmlformats.org/spreadsheetml/2006/main" count="152" uniqueCount="113">
  <si>
    <t>No of Area</t>
  </si>
  <si>
    <t>S.N</t>
  </si>
  <si>
    <t>Side A</t>
  </si>
  <si>
    <t>Side B</t>
  </si>
  <si>
    <t>Side C</t>
  </si>
  <si>
    <t>Area</t>
  </si>
  <si>
    <t>S</t>
  </si>
  <si>
    <t>Input</t>
  </si>
  <si>
    <t>background calculation</t>
  </si>
  <si>
    <t>Formula + output</t>
  </si>
  <si>
    <t>Total Area</t>
  </si>
  <si>
    <t>Ropani</t>
  </si>
  <si>
    <t>Aana</t>
  </si>
  <si>
    <t>Daam</t>
  </si>
  <si>
    <t>Paisa</t>
  </si>
  <si>
    <t>sq.ft</t>
  </si>
  <si>
    <t xml:space="preserve">sq.ft </t>
  </si>
  <si>
    <t>sqm</t>
  </si>
  <si>
    <t>OR</t>
  </si>
  <si>
    <t>Calculate land area</t>
  </si>
  <si>
    <t>Unit</t>
  </si>
  <si>
    <t>Optional</t>
  </si>
  <si>
    <t>Age Vs Strength of concrete</t>
  </si>
  <si>
    <t>Desired Strength (28 days)</t>
  </si>
  <si>
    <t>Strength</t>
  </si>
  <si>
    <t>Age of specimen (Days)</t>
  </si>
  <si>
    <t>Area in sq.ft</t>
  </si>
  <si>
    <t>Bigha</t>
  </si>
  <si>
    <t>Kattha</t>
  </si>
  <si>
    <t>Dhur</t>
  </si>
  <si>
    <t>Sq.ft</t>
  </si>
  <si>
    <t>Area in Bigha Kattha Dhur</t>
  </si>
  <si>
    <t>(mm)</t>
  </si>
  <si>
    <t>SWG to mm conversion chart</t>
  </si>
  <si>
    <t>SWG #</t>
  </si>
  <si>
    <t>Diameter</t>
  </si>
  <si>
    <r>
      <t>(mm</t>
    </r>
    <r>
      <rPr>
        <vertAlign val="superscript"/>
        <sz val="12"/>
        <color rgb="FF222222"/>
        <rFont val="Arial"/>
        <family val="2"/>
      </rPr>
      <t>2</t>
    </r>
    <r>
      <rPr>
        <sz val="12"/>
        <color rgb="FF222222"/>
        <rFont val="Arial"/>
        <family val="2"/>
      </rPr>
      <t>)</t>
    </r>
  </si>
  <si>
    <t>CONCRETE POUR CARD</t>
  </si>
  <si>
    <t xml:space="preserve">Project : </t>
  </si>
  <si>
    <t>Date:</t>
  </si>
  <si>
    <t xml:space="preserve">Client  : </t>
  </si>
  <si>
    <t xml:space="preserve">Structure : </t>
  </si>
  <si>
    <t>Drg no :</t>
  </si>
  <si>
    <t>Level:</t>
  </si>
  <si>
    <t>Grade of Concrete :</t>
  </si>
  <si>
    <t>Start Time :</t>
  </si>
  <si>
    <t xml:space="preserve">Sheet No: </t>
  </si>
  <si>
    <t>Completion Time :</t>
  </si>
  <si>
    <t>Item</t>
  </si>
  <si>
    <t xml:space="preserve">Yes </t>
  </si>
  <si>
    <t>No</t>
  </si>
  <si>
    <t>Remarks</t>
  </si>
  <si>
    <t>Before Concreting</t>
  </si>
  <si>
    <t>Centre lines checked</t>
  </si>
  <si>
    <t>Formwork checked</t>
  </si>
  <si>
    <t>Reinforcement Work Checked</t>
  </si>
  <si>
    <t>Cover to reinforcement</t>
  </si>
  <si>
    <t>Embeded Parts Checked</t>
  </si>
  <si>
    <t>……………………….</t>
  </si>
  <si>
    <t>…………………………</t>
  </si>
  <si>
    <t>Site Engineer</t>
  </si>
  <si>
    <t>Client / Consultant</t>
  </si>
  <si>
    <t>During Concreting</t>
  </si>
  <si>
    <t xml:space="preserve">Material </t>
  </si>
  <si>
    <t>Brand/ Source</t>
  </si>
  <si>
    <t>Cement</t>
  </si>
  <si>
    <t>Sand</t>
  </si>
  <si>
    <t>Aggregate</t>
  </si>
  <si>
    <t>Steel</t>
  </si>
  <si>
    <t xml:space="preserve">Admixture </t>
  </si>
  <si>
    <t>……...……………………</t>
  </si>
  <si>
    <t>After Concreting</t>
  </si>
  <si>
    <t>Finish levels Checked (Yes/No)</t>
  </si>
  <si>
    <t>Cement Consumption</t>
  </si>
  <si>
    <t>No of Cubes and identification</t>
  </si>
  <si>
    <t>Test Cube Result (7 days)</t>
  </si>
  <si>
    <t>Test Cube Result (28 days)</t>
  </si>
  <si>
    <t>Concrete condition after removal of formworks</t>
  </si>
  <si>
    <t>Radius (cm)</t>
  </si>
  <si>
    <t>cm</t>
  </si>
  <si>
    <t>Length (cm)</t>
  </si>
  <si>
    <t>Depth of liquid (cm)</t>
  </si>
  <si>
    <t>Empty depth</t>
  </si>
  <si>
    <t>Volume of Liquid</t>
  </si>
  <si>
    <t>Litres</t>
  </si>
  <si>
    <t xml:space="preserve">Cylindrical Tank Capacity </t>
  </si>
  <si>
    <t>This will help you determine the volume of fluid in a cylindrial tank with respect of depth</t>
  </si>
  <si>
    <t>Input Unit</t>
  </si>
  <si>
    <t>Bachground Clac</t>
  </si>
  <si>
    <t>Output</t>
  </si>
  <si>
    <t>Total</t>
  </si>
  <si>
    <t>Background calculate</t>
  </si>
  <si>
    <t>(Rows Generate on value input)</t>
  </si>
  <si>
    <t>Feet or Meter</t>
  </si>
  <si>
    <t>Select unit</t>
  </si>
  <si>
    <t>Converted Area in Ropani - Aana -Paisa-Daam</t>
  </si>
  <si>
    <t>OR if the length is entered in meter unit use below formula</t>
  </si>
  <si>
    <t>convert area into sq.ft first internally by multiplying by 10.76</t>
  </si>
  <si>
    <t>Sq.ft if length is in feet</t>
  </si>
  <si>
    <t>This will determine the characteristic strength of concrete depending on its age</t>
  </si>
  <si>
    <t>MPA</t>
  </si>
  <si>
    <t>Input strength</t>
  </si>
  <si>
    <t>Input Age</t>
  </si>
  <si>
    <t>Output result</t>
  </si>
  <si>
    <t>Formula</t>
  </si>
  <si>
    <t>https://findmytotal.com/wire/swg-mm-calculator/</t>
  </si>
  <si>
    <t>Enter Gauge thickness</t>
  </si>
  <si>
    <t>Formula not correct</t>
  </si>
  <si>
    <t>Enter value between 0 to 50)</t>
  </si>
  <si>
    <t>Result</t>
  </si>
  <si>
    <t>(Search the existing tabulated data)</t>
  </si>
  <si>
    <t>Calculate'</t>
  </si>
  <si>
    <t>Excel format for 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</si>
</sst>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6" formatCode="_(* #,##0.0_);_(* \(#,##0.0\);_(* &quot;-&quot;??_);_(@_)"/>
    <numFmt numFmtId="167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vertAlign val="superscript"/>
      <sz val="12"/>
      <color rgb="FF222222"/>
      <name val="Arial"/>
      <family val="2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2"/>
      <color rgb="FF833B0B"/>
      <name val="Arial Rounded MT Bold"/>
      <family val="2"/>
    </font>
    <font>
      <sz val="14"/>
      <color rgb="FF000000"/>
      <name val="Arial Rounded MT Bold"/>
      <family val="2"/>
    </font>
    <font>
      <sz val="11"/>
      <color rgb="FF833B0B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rial Rounded MT Bold"/>
      <family val="2"/>
    </font>
    <font>
      <b/>
      <sz val="14"/>
      <color theme="0"/>
      <name val="Arial"/>
      <family val="2"/>
    </font>
    <font>
      <b/>
      <sz val="14"/>
      <color theme="1"/>
      <name val="Open Sans"/>
    </font>
    <font>
      <sz val="11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Consolas"/>
      <family val="3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249977111117893"/>
      </left>
      <right style="thin">
        <color rgb="FFC00000"/>
      </right>
      <top style="medium">
        <color theme="9" tint="-0.249977111117893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theme="9" tint="-0.249977111117893"/>
      </top>
      <bottom style="thin">
        <color rgb="FFC00000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9" tint="-0.249977111117893"/>
      </right>
      <top style="thin">
        <color rgb="FFC00000"/>
      </top>
      <bottom style="thin">
        <color rgb="FFC00000"/>
      </bottom>
      <diagonal/>
    </border>
    <border>
      <left style="medium">
        <color theme="9" tint="-0.249977111117893"/>
      </left>
      <right style="thin">
        <color rgb="FFC00000"/>
      </right>
      <top style="thin">
        <color rgb="FFC00000"/>
      </top>
      <bottom style="medium">
        <color theme="9" tint="-0.24997711111789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thin">
        <color rgb="FFC00000"/>
      </left>
      <right style="medium">
        <color theme="9" tint="-0.249977111117893"/>
      </right>
      <top style="thin">
        <color rgb="FFC00000"/>
      </top>
      <bottom style="medium">
        <color theme="9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4" borderId="1" xfId="0" applyFill="1" applyBorder="1"/>
    <xf numFmtId="0" fontId="2" fillId="3" borderId="0" xfId="0" applyFont="1" applyFill="1"/>
    <xf numFmtId="0" fontId="0" fillId="3" borderId="0" xfId="0" applyFill="1"/>
    <xf numFmtId="0" fontId="0" fillId="5" borderId="0" xfId="0" applyFill="1"/>
    <xf numFmtId="0" fontId="0" fillId="4" borderId="0" xfId="0" applyFill="1"/>
    <xf numFmtId="0" fontId="3" fillId="0" borderId="0" xfId="0" applyFont="1" applyAlignment="1">
      <alignment horizontal="center"/>
    </xf>
    <xf numFmtId="0" fontId="0" fillId="6" borderId="14" xfId="0" applyFill="1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wrapText="1"/>
    </xf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64" fontId="6" fillId="8" borderId="19" xfId="0" applyNumberFormat="1" applyFont="1" applyFill="1" applyBorder="1" applyAlignment="1">
      <alignment horizontal="center" vertical="center" wrapText="1"/>
    </xf>
    <xf numFmtId="165" fontId="6" fillId="8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6" fillId="9" borderId="19" xfId="0" applyNumberFormat="1" applyFont="1" applyFill="1" applyBorder="1" applyAlignment="1">
      <alignment horizontal="right" vertical="center" wrapText="1"/>
    </xf>
    <xf numFmtId="165" fontId="6" fillId="10" borderId="19" xfId="0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8" xfId="0" applyBorder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12" borderId="0" xfId="0" applyFont="1" applyFill="1"/>
    <xf numFmtId="43" fontId="13" fillId="12" borderId="0" xfId="1" applyFont="1" applyFill="1" applyAlignment="1" applyProtection="1"/>
    <xf numFmtId="0" fontId="0" fillId="0" borderId="0" xfId="0" applyAlignment="1">
      <alignment horizontal="left" indent="19"/>
    </xf>
    <xf numFmtId="0" fontId="0" fillId="0" borderId="0" xfId="0" applyAlignment="1">
      <alignment textRotation="90"/>
    </xf>
    <xf numFmtId="0" fontId="14" fillId="0" borderId="0" xfId="0" applyFont="1"/>
    <xf numFmtId="43" fontId="0" fillId="2" borderId="1" xfId="1" applyFont="1" applyFill="1" applyBorder="1"/>
    <xf numFmtId="164" fontId="6" fillId="8" borderId="33" xfId="0" applyNumberFormat="1" applyFont="1" applyFill="1" applyBorder="1" applyAlignment="1">
      <alignment horizontal="center" vertical="center" wrapText="1"/>
    </xf>
    <xf numFmtId="165" fontId="6" fillId="8" borderId="33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65" fontId="6" fillId="10" borderId="36" xfId="0" applyNumberFormat="1" applyFont="1" applyFill="1" applyBorder="1" applyAlignment="1">
      <alignment horizontal="right" vertical="center" wrapText="1"/>
    </xf>
    <xf numFmtId="0" fontId="6" fillId="2" borderId="37" xfId="0" applyFont="1" applyFill="1" applyBorder="1" applyAlignment="1">
      <alignment horizontal="center" vertical="center" wrapText="1"/>
    </xf>
    <xf numFmtId="164" fontId="6" fillId="9" borderId="38" xfId="0" applyNumberFormat="1" applyFont="1" applyFill="1" applyBorder="1" applyAlignment="1">
      <alignment horizontal="right" vertical="center" wrapText="1"/>
    </xf>
    <xf numFmtId="165" fontId="6" fillId="10" borderId="38" xfId="0" applyNumberFormat="1" applyFont="1" applyFill="1" applyBorder="1" applyAlignment="1">
      <alignment horizontal="right" vertical="center" wrapText="1"/>
    </xf>
    <xf numFmtId="0" fontId="6" fillId="2" borderId="38" xfId="0" applyFont="1" applyFill="1" applyBorder="1" applyAlignment="1">
      <alignment horizontal="center" vertical="center" wrapText="1"/>
    </xf>
    <xf numFmtId="165" fontId="6" fillId="10" borderId="40" xfId="0" applyNumberFormat="1" applyFont="1" applyFill="1" applyBorder="1" applyAlignment="1">
      <alignment horizontal="right" vertical="center" wrapText="1"/>
    </xf>
    <xf numFmtId="0" fontId="0" fillId="13" borderId="34" xfId="0" applyFill="1" applyBorder="1"/>
    <xf numFmtId="0" fontId="0" fillId="13" borderId="0" xfId="0" applyFill="1"/>
    <xf numFmtId="0" fontId="0" fillId="13" borderId="39" xfId="0" applyFill="1" applyBorder="1"/>
    <xf numFmtId="0" fontId="0" fillId="14" borderId="1" xfId="0" applyFill="1" applyBorder="1"/>
    <xf numFmtId="43" fontId="0" fillId="14" borderId="1" xfId="1" applyFont="1" applyFill="1" applyBorder="1"/>
    <xf numFmtId="0" fontId="0" fillId="14" borderId="1" xfId="0" applyFill="1" applyBorder="1" applyAlignment="1">
      <alignment horizontal="center"/>
    </xf>
    <xf numFmtId="43" fontId="0" fillId="3" borderId="3" xfId="0" applyNumberFormat="1" applyFill="1" applyBorder="1"/>
    <xf numFmtId="166" fontId="0" fillId="2" borderId="8" xfId="0" applyNumberFormat="1" applyFill="1" applyBorder="1"/>
    <xf numFmtId="167" fontId="0" fillId="2" borderId="8" xfId="0" applyNumberFormat="1" applyFill="1" applyBorder="1"/>
    <xf numFmtId="43" fontId="0" fillId="3" borderId="1" xfId="0" applyNumberFormat="1" applyFill="1" applyBorder="1"/>
    <xf numFmtId="43" fontId="0" fillId="2" borderId="1" xfId="0" applyNumberFormat="1" applyFill="1" applyBorder="1"/>
    <xf numFmtId="1" fontId="0" fillId="2" borderId="8" xfId="0" applyNumberFormat="1" applyFill="1" applyBorder="1"/>
    <xf numFmtId="0" fontId="0" fillId="3" borderId="41" xfId="0" applyFill="1" applyBorder="1"/>
    <xf numFmtId="0" fontId="0" fillId="3" borderId="42" xfId="0" applyFill="1" applyBorder="1"/>
    <xf numFmtId="0" fontId="0" fillId="2" borderId="43" xfId="0" applyFill="1" applyBorder="1"/>
    <xf numFmtId="0" fontId="1" fillId="7" borderId="44" xfId="0" applyFont="1" applyFill="1" applyBorder="1" applyAlignment="1">
      <alignment horizontal="center"/>
    </xf>
    <xf numFmtId="0" fontId="0" fillId="3" borderId="45" xfId="0" applyFill="1" applyBorder="1"/>
    <xf numFmtId="0" fontId="17" fillId="7" borderId="4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left" vertic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6" fillId="8" borderId="32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/>
    </xf>
    <xf numFmtId="0" fontId="0" fillId="0" borderId="20" xfId="0" applyBorder="1" applyAlignment="1">
      <alignment horizontal="left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28" xfId="0" applyBorder="1" applyAlignment="1">
      <alignment horizontal="center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165" fontId="21" fillId="0" borderId="0" xfId="0" applyNumberFormat="1" applyFont="1"/>
    <xf numFmtId="0" fontId="18" fillId="2" borderId="49" xfId="0" applyFont="1" applyFill="1" applyBorder="1"/>
    <xf numFmtId="2" fontId="19" fillId="2" borderId="0" xfId="0" applyNumberFormat="1" applyFont="1" applyFill="1" applyBorder="1"/>
    <xf numFmtId="2" fontId="19" fillId="2" borderId="50" xfId="0" applyNumberFormat="1" applyFont="1" applyFill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164" fontId="2" fillId="0" borderId="0" xfId="0" applyNumberFormat="1" applyFont="1" applyBorder="1"/>
    <xf numFmtId="0" fontId="2" fillId="0" borderId="0" xfId="0" applyFont="1" applyBorder="1"/>
    <xf numFmtId="2" fontId="19" fillId="0" borderId="0" xfId="0" applyNumberFormat="1" applyFont="1" applyBorder="1"/>
    <xf numFmtId="0" fontId="2" fillId="0" borderId="50" xfId="0" applyFont="1" applyBorder="1"/>
    <xf numFmtId="0" fontId="19" fillId="0" borderId="0" xfId="0" applyFont="1" applyBorder="1"/>
    <xf numFmtId="0" fontId="2" fillId="0" borderId="41" xfId="0" applyFont="1" applyBorder="1"/>
    <xf numFmtId="164" fontId="2" fillId="0" borderId="51" xfId="0" applyNumberFormat="1" applyFont="1" applyBorder="1"/>
    <xf numFmtId="0" fontId="2" fillId="0" borderId="51" xfId="0" applyFont="1" applyBorder="1"/>
    <xf numFmtId="0" fontId="2" fillId="0" borderId="52" xfId="0" applyFont="1" applyBorder="1"/>
    <xf numFmtId="0" fontId="22" fillId="0" borderId="49" xfId="0" applyFont="1" applyBorder="1" applyAlignment="1">
      <alignment horizontal="center" vertical="center" textRotation="90"/>
    </xf>
    <xf numFmtId="0" fontId="0" fillId="13" borderId="0" xfId="0" applyFill="1" applyBorder="1"/>
    <xf numFmtId="0" fontId="22" fillId="0" borderId="0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239486</xdr:colOff>
      <xdr:row>14</xdr:row>
      <xdr:rowOff>579120</xdr:rowOff>
    </xdr:from>
    <xdr:to>
      <xdr:col>1</xdr:col>
      <xdr:colOff>2878183</xdr:colOff>
      <xdr:row>14</xdr:row>
      <xdr:rowOff>1994263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A3FEFC47-49E1-9FF1-3858-FCE2408E6ACE}"/>
            </a:ext>
          </a:extLst>
        </xdr:cNvPr>
        <xdr:cNvSpPr/>
      </xdr:nvSpPr>
      <xdr:spPr>
        <a:xfrm>
          <a:off x="1245326" y="3217817"/>
          <a:ext cx="2638697" cy="1415143"/>
        </a:xfrm>
        <a:prstGeom prst="rect">
          <a:avLst/>
        </a:prstGeom>
        <a:effectLst>
          <a:softEdge rad="12700"/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320039</xdr:colOff>
      <xdr:row>14</xdr:row>
      <xdr:rowOff>905022</xdr:rowOff>
    </xdr:from>
    <xdr:to>
      <xdr:col>1</xdr:col>
      <xdr:colOff>2524124</xdr:colOff>
      <xdr:row>14</xdr:row>
      <xdr:rowOff>1821328</xdr:rowOff>
    </xdr:to>
    <xdr:sp macro="" textlink="">
      <xdr:nvSpPr>
        <xdr:cNvPr id="2" name="Flowchart: Direct Access Storage 1">
          <a:extLst>
            <a:ext uri="{FF2B5EF4-FFF2-40B4-BE49-F238E27FC236}">
              <a16:creationId xmlns:a16="http://schemas.microsoft.com/office/drawing/2014/main" id="{49164C57-EF3F-4FBD-849D-BBA92317F4C9}"/>
            </a:ext>
          </a:extLst>
        </xdr:cNvPr>
        <xdr:cNvSpPr/>
      </xdr:nvSpPr>
      <xdr:spPr>
        <a:xfrm>
          <a:off x="1328224" y="3530991"/>
          <a:ext cx="2204085" cy="916306"/>
        </a:xfrm>
        <a:prstGeom prst="flowChartMagneticDrum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602146</xdr:colOff>
      <xdr:row>14</xdr:row>
      <xdr:rowOff>800928</xdr:rowOff>
    </xdr:from>
    <xdr:to>
      <xdr:col>1</xdr:col>
      <xdr:colOff>2153478</xdr:colOff>
      <xdr:row>14</xdr:row>
      <xdr:rowOff>800928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E1E0F51-B488-477D-AB14-814D2C0743B8}"/>
            </a:ext>
          </a:extLst>
        </xdr:cNvPr>
        <xdr:cNvCxnSpPr/>
      </xdr:nvCxnSpPr>
      <xdr:spPr>
        <a:xfrm>
          <a:off x="1609311" y="3464615"/>
          <a:ext cx="155133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2628487</xdr:colOff>
      <xdr:row>14</xdr:row>
      <xdr:rowOff>1153886</xdr:rowOff>
    </xdr:from>
    <xdr:to>
      <xdr:col>1</xdr:col>
      <xdr:colOff>2628487</xdr:colOff>
      <xdr:row>14</xdr:row>
      <xdr:rowOff>1842052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8C226A2-EBF9-4B38-95C2-2852BA028A71}"/>
            </a:ext>
          </a:extLst>
        </xdr:cNvPr>
        <xdr:cNvCxnSpPr/>
      </xdr:nvCxnSpPr>
      <xdr:spPr>
        <a:xfrm flipV="1">
          <a:off x="3634327" y="3792583"/>
          <a:ext cx="0" cy="68816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1126435</xdr:colOff>
      <xdr:row>14</xdr:row>
      <xdr:rowOff>556593</xdr:rowOff>
    </xdr:from>
    <xdr:ext cx="57612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2977E8-B35B-0748-3312-E5C215D2C49C}"/>
            </a:ext>
          </a:extLst>
        </xdr:cNvPr>
        <xdr:cNvSpPr txBox="1"/>
      </xdr:nvSpPr>
      <xdr:spPr>
        <a:xfrm>
          <a:off x="2133600" y="3220280"/>
          <a:ext cx="576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Length</a:t>
          </a:r>
        </a:p>
      </xdr:txBody>
    </xdr:sp>
    <xdr:clientData/>
  </xdr:oneCellAnchor>
  <xdr:oneCellAnchor>
    <xdr:from>
      <xdr:col>1</xdr:col>
      <xdr:colOff>2617435</xdr:colOff>
      <xdr:row>14</xdr:row>
      <xdr:rowOff>951755</xdr:rowOff>
    </xdr:from>
    <xdr:ext cx="264560" cy="97436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4B6BE6-4ECF-E6EE-DE14-C58D92BC164D}"/>
            </a:ext>
          </a:extLst>
        </xdr:cNvPr>
        <xdr:cNvSpPr txBox="1"/>
      </xdr:nvSpPr>
      <xdr:spPr>
        <a:xfrm rot="16200000">
          <a:off x="3268370" y="3945357"/>
          <a:ext cx="9743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Depth of fluid</a:t>
          </a:r>
        </a:p>
      </xdr:txBody>
    </xdr:sp>
    <xdr:clientData/>
  </xdr:oneCellAnchor>
  <xdr:twoCellAnchor>
    <xdr:from>
      <xdr:col>1</xdr:col>
      <xdr:colOff>346841</xdr:colOff>
      <xdr:row>14</xdr:row>
      <xdr:rowOff>1185878</xdr:rowOff>
    </xdr:from>
    <xdr:to>
      <xdr:col>1</xdr:col>
      <xdr:colOff>1802524</xdr:colOff>
      <xdr:row>14</xdr:row>
      <xdr:rowOff>1185878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ABD40CC-7BEB-5351-9190-1A3DA26B511B}"/>
            </a:ext>
          </a:extLst>
        </xdr:cNvPr>
        <xdr:cNvCxnSpPr/>
      </xdr:nvCxnSpPr>
      <xdr:spPr>
        <a:xfrm flipH="1">
          <a:off x="1351296" y="3832096"/>
          <a:ext cx="1455683" cy="0"/>
        </a:xfrm>
        <a:prstGeom prst="line">
          <a:avLst/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1056350</xdr:colOff>
      <xdr:row>14</xdr:row>
      <xdr:rowOff>1043433</xdr:rowOff>
    </xdr:from>
    <xdr:to>
      <xdr:col>1</xdr:col>
      <xdr:colOff>1220942</xdr:colOff>
      <xdr:row>14</xdr:row>
      <xdr:rowOff>1153161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C5D4AA0-4B73-7DF0-7D89-1DA6B65FB20D}"/>
            </a:ext>
          </a:extLst>
        </xdr:cNvPr>
        <xdr:cNvSpPr/>
      </xdr:nvSpPr>
      <xdr:spPr>
        <a:xfrm flipV="1">
          <a:off x="2061541" y="3663416"/>
          <a:ext cx="164592" cy="109728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971006</xdr:colOff>
      <xdr:row>14</xdr:row>
      <xdr:rowOff>1225284</xdr:rowOff>
    </xdr:from>
    <xdr:to>
      <xdr:col>1</xdr:col>
      <xdr:colOff>1306286</xdr:colOff>
      <xdr:row>14</xdr:row>
      <xdr:rowOff>1225284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C862405-CC32-CAE3-CA26-DFD06DE33D8C}"/>
            </a:ext>
          </a:extLst>
        </xdr:cNvPr>
        <xdr:cNvCxnSpPr/>
      </xdr:nvCxnSpPr>
      <xdr:spPr>
        <a:xfrm>
          <a:off x="1976197" y="3845267"/>
          <a:ext cx="33528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1034737</xdr:colOff>
      <xdr:row>14</xdr:row>
      <xdr:rowOff>1258614</xdr:rowOff>
    </xdr:from>
    <xdr:to>
      <xdr:col>1</xdr:col>
      <xdr:colOff>1242555</xdr:colOff>
      <xdr:row>14</xdr:row>
      <xdr:rowOff>1258614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878BBBC2-2B91-4C1E-237F-28937BF1C752}"/>
            </a:ext>
          </a:extLst>
        </xdr:cNvPr>
        <xdr:cNvCxnSpPr/>
      </xdr:nvCxnSpPr>
      <xdr:spPr>
        <a:xfrm>
          <a:off x="2039928" y="3878597"/>
          <a:ext cx="207818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1074638</xdr:colOff>
      <xdr:row>14</xdr:row>
      <xdr:rowOff>1295017</xdr:rowOff>
    </xdr:from>
    <xdr:to>
      <xdr:col>1</xdr:col>
      <xdr:colOff>1202654</xdr:colOff>
      <xdr:row>14</xdr:row>
      <xdr:rowOff>1295017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6D63FA6-B6EC-D3D7-4344-B463030D6425}"/>
            </a:ext>
          </a:extLst>
        </xdr:cNvPr>
        <xdr:cNvCxnSpPr/>
      </xdr:nvCxnSpPr>
      <xdr:spPr>
        <a:xfrm>
          <a:off x="2079829" y="3915000"/>
          <a:ext cx="128016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1111214</xdr:colOff>
      <xdr:row>14</xdr:row>
      <xdr:rowOff>1322726</xdr:rowOff>
    </xdr:from>
    <xdr:to>
      <xdr:col>1</xdr:col>
      <xdr:colOff>1166078</xdr:colOff>
      <xdr:row>14</xdr:row>
      <xdr:rowOff>1322726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2C926E9-F528-56BF-FE24-6CD4E7E6EC6A}"/>
            </a:ext>
          </a:extLst>
        </xdr:cNvPr>
        <xdr:cNvCxnSpPr/>
      </xdr:nvCxnSpPr>
      <xdr:spPr>
        <a:xfrm>
          <a:off x="2116405" y="3942709"/>
          <a:ext cx="54864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2164080</xdr:colOff>
      <xdr:row>14</xdr:row>
      <xdr:rowOff>992777</xdr:rowOff>
    </xdr:from>
    <xdr:to>
      <xdr:col>1</xdr:col>
      <xdr:colOff>2373086</xdr:colOff>
      <xdr:row>14</xdr:row>
      <xdr:rowOff>1375954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C52A4862-2B55-A0F8-1904-E5B932AE7C85}"/>
            </a:ext>
          </a:extLst>
        </xdr:cNvPr>
        <xdr:cNvCxnSpPr/>
      </xdr:nvCxnSpPr>
      <xdr:spPr>
        <a:xfrm flipV="1">
          <a:off x="3169920" y="3631474"/>
          <a:ext cx="209006" cy="38317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2076994</xdr:colOff>
      <xdr:row>14</xdr:row>
      <xdr:rowOff>1018902</xdr:rowOff>
    </xdr:from>
    <xdr:ext cx="261290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402506B-A415-4868-18F8-D67A7D72EFF1}"/>
            </a:ext>
          </a:extLst>
        </xdr:cNvPr>
        <xdr:cNvSpPr txBox="1"/>
      </xdr:nvSpPr>
      <xdr:spPr>
        <a:xfrm>
          <a:off x="3082834" y="3657599"/>
          <a:ext cx="2612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</a:t>
          </a:r>
        </a:p>
      </xdr:txBody>
    </xdr:sp>
    <xdr:clientData/>
  </xdr:oneCellAnchor>
  <xdr:twoCellAnchor editAs="oneCell">
    <xdr:from>
      <xdr:col>3</xdr:col>
      <xdr:colOff>45720</xdr:colOff>
      <xdr:row>14</xdr:row>
      <xdr:rowOff>317770</xdr:rowOff>
    </xdr:from>
    <xdr:to>
      <xdr:col>7</xdr:col>
      <xdr:colOff>30878</xdr:colOff>
      <xdr:row>14</xdr:row>
      <xdr:rowOff>1615653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53BDB1E-371C-A704-467B-2DCE852D5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5860" y="2954290"/>
          <a:ext cx="2423558" cy="1297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20</xdr:row>
      <xdr:rowOff>85724</xdr:rowOff>
    </xdr:from>
    <xdr:to>
      <xdr:col>7</xdr:col>
      <xdr:colOff>1165860</xdr:colOff>
      <xdr:row>21</xdr:row>
      <xdr:rowOff>7619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ADA814-9114-9E90-9FCF-02526C22D3C5}"/>
            </a:ext>
          </a:extLst>
        </xdr:cNvPr>
        <xdr:cNvSpPr/>
      </xdr:nvSpPr>
      <xdr:spPr>
        <a:xfrm>
          <a:off x="4461510" y="3857624"/>
          <a:ext cx="1108710" cy="1047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365760</xdr:colOff>
      <xdr:row>23</xdr:row>
      <xdr:rowOff>120015</xdr:rowOff>
    </xdr:from>
    <xdr:to>
      <xdr:col>4</xdr:col>
      <xdr:colOff>499110</xdr:colOff>
      <xdr:row>23</xdr:row>
      <xdr:rowOff>405765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B56B79B4-6D35-7E1B-215A-5AA789A01830}"/>
            </a:ext>
          </a:extLst>
        </xdr:cNvPr>
        <xdr:cNvSpPr/>
      </xdr:nvSpPr>
      <xdr:spPr>
        <a:xfrm>
          <a:off x="2667000" y="4448175"/>
          <a:ext cx="133350" cy="2857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</xdr:colOff>
      <xdr:row>26</xdr:row>
      <xdr:rowOff>85724</xdr:rowOff>
    </xdr:from>
    <xdr:to>
      <xdr:col>7</xdr:col>
      <xdr:colOff>1165860</xdr:colOff>
      <xdr:row>27</xdr:row>
      <xdr:rowOff>7619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CE74B034-A0AE-4AED-A53F-28A6B31BBFDC}"/>
            </a:ext>
          </a:extLst>
        </xdr:cNvPr>
        <xdr:cNvSpPr/>
      </xdr:nvSpPr>
      <xdr:spPr>
        <a:xfrm>
          <a:off x="4499610" y="3857624"/>
          <a:ext cx="1108710" cy="1047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5DB2-A1B6-4F89-BEAF-C8AC489025F7}">
  <dimension ref="B1:E25"/>
  <sheetViews>
    <sheetView zoomScaleNormal="100" workbookViewId="0">
      <selection activeCell="E7" sqref="E7"/>
    </sheetView>
  </sheetViews>
  <sheetFormatPr defaultRowHeight="14.4" x14ac:dyDescent="0.3"/>
  <cols>
    <col min="2" max="2" width="26.88671875" customWidth="1"/>
    <col min="3" max="3" width="10" customWidth="1"/>
  </cols>
  <sheetData>
    <row r="1" spans="2:5" x14ac:dyDescent="0.3">
      <c r="B1" t="s">
        <v>99</v>
      </c>
    </row>
    <row r="3" spans="2:5" x14ac:dyDescent="0.3">
      <c r="B3" s="88" t="s">
        <v>22</v>
      </c>
      <c r="C3" s="88"/>
      <c r="D3" s="88"/>
    </row>
    <row r="4" spans="2:5" x14ac:dyDescent="0.3">
      <c r="B4" s="85"/>
      <c r="C4" s="87" t="s">
        <v>24</v>
      </c>
      <c r="D4" s="87" t="s">
        <v>20</v>
      </c>
    </row>
    <row r="5" spans="2:5" x14ac:dyDescent="0.3">
      <c r="B5" s="27" t="s">
        <v>23</v>
      </c>
      <c r="C5" s="82">
        <v>25</v>
      </c>
      <c r="D5" s="86" t="s">
        <v>100</v>
      </c>
      <c r="E5" t="s">
        <v>101</v>
      </c>
    </row>
    <row r="6" spans="2:5" x14ac:dyDescent="0.3">
      <c r="B6" s="25" t="s">
        <v>25</v>
      </c>
      <c r="C6" s="83">
        <v>28</v>
      </c>
      <c r="D6" s="3" t="s">
        <v>100</v>
      </c>
      <c r="E6" t="s">
        <v>102</v>
      </c>
    </row>
    <row r="7" spans="2:5" ht="15" thickBot="1" x14ac:dyDescent="0.35">
      <c r="B7" s="26" t="s">
        <v>24</v>
      </c>
      <c r="C7" s="84">
        <f>ROUND($C6*$C$5/(4.7+0.833*$C6),1)</f>
        <v>25</v>
      </c>
      <c r="D7" s="1" t="s">
        <v>100</v>
      </c>
      <c r="E7" t="s">
        <v>103</v>
      </c>
    </row>
    <row r="25" ht="51" customHeight="1" x14ac:dyDescent="0.3"/>
  </sheetData>
  <mergeCells count="1">
    <mergeCell ref="B3:D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87EB4-5B7D-4C43-98F7-6A8E0D256CFB}">
  <dimension ref="A1:D19"/>
  <sheetViews>
    <sheetView zoomScaleNormal="100" workbookViewId="0">
      <selection activeCell="C15" sqref="C15"/>
    </sheetView>
  </sheetViews>
  <sheetFormatPr defaultRowHeight="14.4" x14ac:dyDescent="0.3"/>
  <cols>
    <col min="1" max="1" width="14.6640625" bestFit="1" customWidth="1"/>
    <col min="2" max="2" width="48.33203125" bestFit="1" customWidth="1"/>
  </cols>
  <sheetData>
    <row r="1" spans="1:4" ht="17.399999999999999" x14ac:dyDescent="0.3">
      <c r="B1" s="52" t="s">
        <v>85</v>
      </c>
      <c r="C1" s="53"/>
      <c r="D1" s="53"/>
    </row>
    <row r="2" spans="1:4" ht="17.399999999999999" x14ac:dyDescent="0.3">
      <c r="B2" s="59" t="s">
        <v>86</v>
      </c>
      <c r="C2" s="53"/>
      <c r="D2" s="53"/>
    </row>
    <row r="3" spans="1:4" x14ac:dyDescent="0.3">
      <c r="A3" t="s">
        <v>7</v>
      </c>
      <c r="B3" s="54" t="s">
        <v>78</v>
      </c>
      <c r="C3" s="54">
        <v>106</v>
      </c>
      <c r="D3" s="54" t="s">
        <v>79</v>
      </c>
    </row>
    <row r="4" spans="1:4" x14ac:dyDescent="0.3">
      <c r="A4" t="s">
        <v>7</v>
      </c>
      <c r="B4" s="54" t="s">
        <v>80</v>
      </c>
      <c r="C4" s="54">
        <v>424</v>
      </c>
      <c r="D4" s="54" t="s">
        <v>79</v>
      </c>
    </row>
    <row r="5" spans="1:4" x14ac:dyDescent="0.3">
      <c r="A5" t="s">
        <v>7</v>
      </c>
      <c r="B5" s="54" t="s">
        <v>81</v>
      </c>
      <c r="C5" s="54">
        <v>106</v>
      </c>
      <c r="D5" s="54" t="s">
        <v>79</v>
      </c>
    </row>
    <row r="6" spans="1:4" x14ac:dyDescent="0.3">
      <c r="A6" t="s">
        <v>88</v>
      </c>
      <c r="B6" s="47" t="s">
        <v>82</v>
      </c>
      <c r="C6" s="47">
        <f>2*C3-C5</f>
        <v>106</v>
      </c>
      <c r="D6" s="47" t="s">
        <v>79</v>
      </c>
    </row>
    <row r="7" spans="1:4" x14ac:dyDescent="0.3">
      <c r="A7" t="s">
        <v>89</v>
      </c>
      <c r="B7" s="55" t="s">
        <v>83</v>
      </c>
      <c r="C7" s="55">
        <f>INT(((PI()*C3*C3)-(C3*C3*ACOS((C3-C6)/C3))+((C3-C6)*SQRT(2*C3*C6-(C6*C6))))*C4/1000)</f>
        <v>7483</v>
      </c>
      <c r="D7" s="56" t="s">
        <v>84</v>
      </c>
    </row>
    <row r="8" spans="1:4" x14ac:dyDescent="0.3">
      <c r="B8" s="47"/>
      <c r="C8" s="47"/>
      <c r="D8" s="47"/>
    </row>
    <row r="10" spans="1:4" x14ac:dyDescent="0.3">
      <c r="B10" s="57" t="s">
        <v>80</v>
      </c>
    </row>
    <row r="14" spans="1:4" x14ac:dyDescent="0.3">
      <c r="D14" s="89"/>
    </row>
    <row r="15" spans="1:4" ht="213" customHeight="1" x14ac:dyDescent="0.3">
      <c r="D15" s="89"/>
    </row>
    <row r="19" spans="4:4" x14ac:dyDescent="0.3">
      <c r="D19" s="58"/>
    </row>
  </sheetData>
  <mergeCells count="1">
    <mergeCell ref="D14:D15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zoomScale="70" zoomScaleNormal="70" workbookViewId="0">
      <selection activeCell="P1" sqref="P1:S1048576"/>
    </sheetView>
  </sheetViews>
  <sheetFormatPr defaultRowHeight="14.4" x14ac:dyDescent="0.3"/>
  <cols>
    <col min="2" max="2" width="6.88671875" customWidth="1"/>
    <col min="5" max="5" width="12.21875" bestFit="1" customWidth="1"/>
    <col min="6" max="6" width="10.109375" bestFit="1" customWidth="1"/>
    <col min="7" max="7" width="16.44140625" customWidth="1"/>
    <col min="8" max="8" width="18.5546875" bestFit="1" customWidth="1"/>
    <col min="9" max="9" width="13.33203125" customWidth="1"/>
    <col min="10" max="10" width="12.44140625" customWidth="1"/>
    <col min="11" max="11" width="11.6640625" customWidth="1"/>
    <col min="12" max="12" width="9.109375" bestFit="1" customWidth="1"/>
  </cols>
  <sheetData>
    <row r="1" spans="2:14" ht="21" x14ac:dyDescent="0.4">
      <c r="B1" s="92" t="s">
        <v>19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2:14" x14ac:dyDescent="0.3">
      <c r="B2" s="14"/>
      <c r="N2" s="13"/>
    </row>
    <row r="3" spans="2:14" x14ac:dyDescent="0.3">
      <c r="B3" s="14" t="s">
        <v>0</v>
      </c>
      <c r="D3" s="19">
        <v>7</v>
      </c>
      <c r="E3" t="s">
        <v>7</v>
      </c>
      <c r="F3" t="s">
        <v>92</v>
      </c>
      <c r="N3" s="13"/>
    </row>
    <row r="4" spans="2:14" x14ac:dyDescent="0.3">
      <c r="B4" s="14" t="s">
        <v>87</v>
      </c>
      <c r="E4" t="s">
        <v>93</v>
      </c>
      <c r="F4" t="s">
        <v>94</v>
      </c>
      <c r="N4" s="13"/>
    </row>
    <row r="5" spans="2:14" x14ac:dyDescent="0.3">
      <c r="B5" s="7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20</v>
      </c>
      <c r="H5" s="2" t="s">
        <v>6</v>
      </c>
      <c r="J5" s="20"/>
      <c r="K5" t="s">
        <v>7</v>
      </c>
      <c r="N5" s="13"/>
    </row>
    <row r="6" spans="2:14" x14ac:dyDescent="0.3">
      <c r="B6" s="7">
        <v>1</v>
      </c>
      <c r="C6" s="3">
        <v>55</v>
      </c>
      <c r="D6" s="3">
        <v>44</v>
      </c>
      <c r="E6" s="3">
        <v>33</v>
      </c>
      <c r="F6" s="60">
        <f>SQRT(H6*(H6-C6)*(H6-D6)*(H6-E6))</f>
        <v>726</v>
      </c>
      <c r="G6" s="18" t="s">
        <v>15</v>
      </c>
      <c r="H6" s="5">
        <f>(C6+D6+E6)/2</f>
        <v>66</v>
      </c>
      <c r="J6" s="12"/>
      <c r="K6" t="s">
        <v>9</v>
      </c>
      <c r="N6" s="13"/>
    </row>
    <row r="7" spans="2:14" x14ac:dyDescent="0.3">
      <c r="B7" s="7">
        <v>2</v>
      </c>
      <c r="C7" s="3">
        <v>88</v>
      </c>
      <c r="D7" s="3">
        <v>77</v>
      </c>
      <c r="E7" s="3">
        <v>66</v>
      </c>
      <c r="F7" s="60">
        <f t="shared" ref="F7:F12" si="0">SQRT(H7*(H7-C7)*(H7-D7)*(H7-E7))</f>
        <v>2460.3126706782614</v>
      </c>
      <c r="G7" s="18"/>
      <c r="H7" s="5">
        <f t="shared" ref="H7:H12" si="1">(C7+D7+E7)/2</f>
        <v>115.5</v>
      </c>
      <c r="J7" s="21"/>
      <c r="K7" t="s">
        <v>8</v>
      </c>
      <c r="N7" s="13"/>
    </row>
    <row r="8" spans="2:14" x14ac:dyDescent="0.3">
      <c r="B8" s="7">
        <v>3</v>
      </c>
      <c r="C8" s="3">
        <v>33</v>
      </c>
      <c r="D8" s="3">
        <v>35</v>
      </c>
      <c r="E8" s="3">
        <v>60</v>
      </c>
      <c r="F8" s="60">
        <f t="shared" si="0"/>
        <v>479.73325921807839</v>
      </c>
      <c r="G8" s="18"/>
      <c r="H8" s="5">
        <f t="shared" si="1"/>
        <v>64</v>
      </c>
      <c r="J8" s="22"/>
      <c r="K8" t="s">
        <v>21</v>
      </c>
      <c r="N8" s="13"/>
    </row>
    <row r="9" spans="2:14" x14ac:dyDescent="0.3">
      <c r="B9" s="7">
        <v>4</v>
      </c>
      <c r="C9" s="3"/>
      <c r="D9" s="3"/>
      <c r="E9" s="3"/>
      <c r="F9" s="60">
        <f t="shared" si="0"/>
        <v>0</v>
      </c>
      <c r="G9" s="18"/>
      <c r="H9" s="5">
        <f t="shared" si="1"/>
        <v>0</v>
      </c>
      <c r="N9" s="13"/>
    </row>
    <row r="10" spans="2:14" x14ac:dyDescent="0.3">
      <c r="B10" s="7">
        <v>5</v>
      </c>
      <c r="C10" s="3"/>
      <c r="D10" s="3"/>
      <c r="E10" s="3"/>
      <c r="F10" s="60">
        <f t="shared" si="0"/>
        <v>0</v>
      </c>
      <c r="G10" s="18"/>
      <c r="H10" s="5">
        <f t="shared" si="1"/>
        <v>0</v>
      </c>
      <c r="N10" s="13"/>
    </row>
    <row r="11" spans="2:14" x14ac:dyDescent="0.3">
      <c r="B11" s="7">
        <v>6</v>
      </c>
      <c r="C11" s="3"/>
      <c r="D11" s="3"/>
      <c r="E11" s="3"/>
      <c r="F11" s="60">
        <f t="shared" si="0"/>
        <v>0</v>
      </c>
      <c r="G11" s="18"/>
      <c r="H11" s="5">
        <f t="shared" si="1"/>
        <v>0</v>
      </c>
      <c r="N11" s="13"/>
    </row>
    <row r="12" spans="2:14" x14ac:dyDescent="0.3">
      <c r="B12" s="7">
        <v>7</v>
      </c>
      <c r="C12" s="3"/>
      <c r="D12" s="3"/>
      <c r="E12" s="3"/>
      <c r="F12" s="60">
        <f t="shared" si="0"/>
        <v>0</v>
      </c>
      <c r="G12" s="18"/>
      <c r="H12" s="5">
        <f t="shared" si="1"/>
        <v>0</v>
      </c>
      <c r="N12" s="13"/>
    </row>
    <row r="13" spans="2:14" x14ac:dyDescent="0.3">
      <c r="B13" s="73"/>
      <c r="C13" s="73" t="s">
        <v>90</v>
      </c>
      <c r="D13" s="73"/>
      <c r="E13" s="73"/>
      <c r="F13" s="74">
        <f>SUM(F6:F12)</f>
        <v>3666.0459298963397</v>
      </c>
      <c r="G13" s="73"/>
      <c r="H13" s="75" t="s">
        <v>91</v>
      </c>
      <c r="N13" s="13"/>
    </row>
    <row r="14" spans="2:14" x14ac:dyDescent="0.3">
      <c r="B14" s="14"/>
      <c r="C14" t="s">
        <v>7</v>
      </c>
      <c r="D14" t="s">
        <v>7</v>
      </c>
      <c r="E14" t="s">
        <v>7</v>
      </c>
      <c r="F14" t="s">
        <v>89</v>
      </c>
      <c r="N14" s="13"/>
    </row>
    <row r="15" spans="2:14" x14ac:dyDescent="0.3">
      <c r="B15" s="14"/>
      <c r="N15" s="13"/>
    </row>
    <row r="16" spans="2:14" x14ac:dyDescent="0.3">
      <c r="B16" s="14"/>
      <c r="N16" s="13"/>
    </row>
    <row r="17" spans="2:14" x14ac:dyDescent="0.3">
      <c r="B17" s="14"/>
      <c r="C17" s="99"/>
      <c r="D17" s="99"/>
      <c r="E17" s="99"/>
      <c r="F17" s="99"/>
      <c r="G17" s="99"/>
      <c r="N17" s="13"/>
    </row>
    <row r="18" spans="2:14" ht="15" thickBot="1" x14ac:dyDescent="0.35">
      <c r="B18" s="14"/>
      <c r="C18" s="98" t="s">
        <v>95</v>
      </c>
      <c r="D18" s="98"/>
      <c r="E18" s="98"/>
      <c r="F18" s="98"/>
      <c r="G18" s="98"/>
      <c r="N18" s="13"/>
    </row>
    <row r="19" spans="2:14" x14ac:dyDescent="0.3">
      <c r="B19" s="14"/>
      <c r="C19" s="90" t="s">
        <v>10</v>
      </c>
      <c r="D19" s="91"/>
      <c r="E19" s="91"/>
      <c r="F19" s="76">
        <f>F13</f>
        <v>3666.0459298963397</v>
      </c>
      <c r="G19" s="6" t="s">
        <v>16</v>
      </c>
      <c r="H19" s="23"/>
      <c r="I19" s="90" t="s">
        <v>10</v>
      </c>
      <c r="J19" s="91"/>
      <c r="K19" s="91"/>
      <c r="L19" s="76">
        <f>F13</f>
        <v>3666.0459298963397</v>
      </c>
      <c r="M19" s="6" t="s">
        <v>16</v>
      </c>
      <c r="N19" s="13"/>
    </row>
    <row r="20" spans="2:14" x14ac:dyDescent="0.3">
      <c r="B20" s="14"/>
      <c r="C20" s="7"/>
      <c r="D20" s="1" t="s">
        <v>11</v>
      </c>
      <c r="E20" s="1"/>
      <c r="F20" s="4">
        <f>INT(F19/5476)</f>
        <v>0</v>
      </c>
      <c r="G20" s="8"/>
      <c r="H20" s="23" t="s">
        <v>18</v>
      </c>
      <c r="I20" s="7"/>
      <c r="J20" s="1" t="s">
        <v>11</v>
      </c>
      <c r="K20" s="1"/>
      <c r="L20" s="4">
        <f>INT(L19/5476)</f>
        <v>0</v>
      </c>
      <c r="M20" s="8"/>
      <c r="N20" s="24">
        <f>L19/5476</f>
        <v>0.66947515155155946</v>
      </c>
    </row>
    <row r="21" spans="2:14" x14ac:dyDescent="0.3">
      <c r="B21" s="14"/>
      <c r="C21" s="7"/>
      <c r="D21" s="1" t="s">
        <v>12</v>
      </c>
      <c r="E21" s="1"/>
      <c r="F21" s="4">
        <f>INT(((F19/5476)-F20)*16)</f>
        <v>10</v>
      </c>
      <c r="G21" s="8"/>
      <c r="I21" s="7"/>
      <c r="J21" s="1" t="s">
        <v>12</v>
      </c>
      <c r="K21" s="1"/>
      <c r="L21" s="4">
        <f>INT((N20-L20)*16)</f>
        <v>10</v>
      </c>
      <c r="M21" s="8"/>
      <c r="N21" s="24">
        <f>(N20-L20)*16</f>
        <v>10.711602424824951</v>
      </c>
    </row>
    <row r="22" spans="2:14" x14ac:dyDescent="0.3">
      <c r="B22" s="14"/>
      <c r="C22" s="7"/>
      <c r="D22" s="1" t="s">
        <v>14</v>
      </c>
      <c r="E22" s="1"/>
      <c r="F22" s="4">
        <f>INT(((((F19/5476)-F20)*16)-F21)*4)</f>
        <v>2</v>
      </c>
      <c r="G22" s="8"/>
      <c r="I22" s="7"/>
      <c r="J22" s="1" t="s">
        <v>14</v>
      </c>
      <c r="K22" s="1"/>
      <c r="L22" s="4">
        <f>INT((N21-L21)*4)</f>
        <v>2</v>
      </c>
      <c r="M22" s="8"/>
      <c r="N22" s="24">
        <f>(N21-L21)*4</f>
        <v>2.8464096992998051</v>
      </c>
    </row>
    <row r="23" spans="2:14" ht="15" thickBot="1" x14ac:dyDescent="0.35">
      <c r="B23" s="14"/>
      <c r="C23" s="9"/>
      <c r="D23" s="10" t="s">
        <v>13</v>
      </c>
      <c r="E23" s="10"/>
      <c r="F23" s="77">
        <f>((((((F19/5476)-F20)*16)-F21)*4)-F22)*4</f>
        <v>3.3856387971992206</v>
      </c>
      <c r="G23" s="11"/>
      <c r="I23" s="9"/>
      <c r="J23" s="10" t="s">
        <v>13</v>
      </c>
      <c r="K23" s="10"/>
      <c r="L23" s="78">
        <f>(N22-L22)*4</f>
        <v>3.3856387971992206</v>
      </c>
      <c r="M23" s="11"/>
      <c r="N23" s="13"/>
    </row>
    <row r="24" spans="2:14" ht="51" customHeight="1" thickBot="1" x14ac:dyDescent="0.35">
      <c r="B24" s="14"/>
      <c r="C24" s="30" t="s">
        <v>96</v>
      </c>
      <c r="N24" s="13"/>
    </row>
    <row r="25" spans="2:14" x14ac:dyDescent="0.3">
      <c r="B25" s="14"/>
      <c r="C25" s="90" t="s">
        <v>10</v>
      </c>
      <c r="D25" s="91"/>
      <c r="E25" s="91"/>
      <c r="F25" s="76">
        <f>F19</f>
        <v>3666.0459298963397</v>
      </c>
      <c r="G25" s="6" t="s">
        <v>17</v>
      </c>
      <c r="I25" s="95" t="s">
        <v>31</v>
      </c>
      <c r="J25" s="96"/>
      <c r="K25" s="97"/>
      <c r="N25" s="13"/>
    </row>
    <row r="26" spans="2:14" ht="57.6" x14ac:dyDescent="0.3">
      <c r="B26" s="14"/>
      <c r="C26" s="28"/>
      <c r="D26" s="2" t="s">
        <v>10</v>
      </c>
      <c r="E26" s="2"/>
      <c r="F26" s="80">
        <f>F25*10.76</f>
        <v>39446.654205684616</v>
      </c>
      <c r="G26" s="29" t="s">
        <v>97</v>
      </c>
      <c r="H26" s="23" t="s">
        <v>18</v>
      </c>
      <c r="I26" s="7" t="s">
        <v>26</v>
      </c>
      <c r="J26" s="79">
        <f>F13</f>
        <v>3666.0459298963397</v>
      </c>
      <c r="K26" s="8" t="s">
        <v>98</v>
      </c>
      <c r="N26" s="13"/>
    </row>
    <row r="27" spans="2:14" x14ac:dyDescent="0.3">
      <c r="B27" s="14"/>
      <c r="C27" s="7"/>
      <c r="D27" s="1" t="s">
        <v>11</v>
      </c>
      <c r="E27" s="1"/>
      <c r="F27" s="4">
        <f>INT(F26/5476)</f>
        <v>7</v>
      </c>
      <c r="G27" s="8"/>
      <c r="I27" s="7" t="s">
        <v>27</v>
      </c>
      <c r="J27" s="4">
        <f>INT(J26/72900)</f>
        <v>0</v>
      </c>
      <c r="K27" s="8"/>
      <c r="N27" s="13"/>
    </row>
    <row r="28" spans="2:14" x14ac:dyDescent="0.3">
      <c r="B28" s="14"/>
      <c r="C28" s="7"/>
      <c r="D28" s="1" t="s">
        <v>12</v>
      </c>
      <c r="E28" s="1"/>
      <c r="F28" s="4">
        <f>INT(((F26/5476)-F27)*16)</f>
        <v>3</v>
      </c>
      <c r="G28" s="8"/>
      <c r="I28" s="7" t="s">
        <v>28</v>
      </c>
      <c r="J28" s="4">
        <f>INT(((J26/72900)-J27)*20)</f>
        <v>1</v>
      </c>
      <c r="K28" s="8"/>
      <c r="N28" s="13"/>
    </row>
    <row r="29" spans="2:14" x14ac:dyDescent="0.3">
      <c r="B29" s="14"/>
      <c r="C29" s="7"/>
      <c r="D29" s="1" t="s">
        <v>14</v>
      </c>
      <c r="E29" s="1"/>
      <c r="F29" s="4">
        <f>INT(((((F26/5476)-F27)*16)-F28)*4)</f>
        <v>1</v>
      </c>
      <c r="G29" s="8"/>
      <c r="I29" s="7" t="s">
        <v>29</v>
      </c>
      <c r="J29" s="4">
        <f>INT(((((J26/72900)-J27)*20)-J28)*20)</f>
        <v>0</v>
      </c>
      <c r="K29" s="8"/>
      <c r="N29" s="13"/>
    </row>
    <row r="30" spans="2:14" ht="15" thickBot="1" x14ac:dyDescent="0.35">
      <c r="B30" s="14"/>
      <c r="C30" s="9"/>
      <c r="D30" s="10" t="s">
        <v>13</v>
      </c>
      <c r="E30" s="10"/>
      <c r="F30" s="78">
        <f>((((((F26/5476)-F27)*16)-F28)*4)-F29)*4</f>
        <v>0.10947345786371443</v>
      </c>
      <c r="G30" s="11"/>
      <c r="I30" s="9" t="s">
        <v>30</v>
      </c>
      <c r="J30" s="81">
        <f>((((((J26/72900)-J27)*20)-J28)*20)-J29)*182.25</f>
        <v>21.04592989633954</v>
      </c>
      <c r="K30" s="11"/>
      <c r="N30" s="13"/>
    </row>
    <row r="31" spans="2:14" ht="15" thickBo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3" spans="3:3" x14ac:dyDescent="0.3">
      <c r="C33" s="30"/>
    </row>
  </sheetData>
  <mergeCells count="7">
    <mergeCell ref="C19:E19"/>
    <mergeCell ref="C25:E25"/>
    <mergeCell ref="I19:K19"/>
    <mergeCell ref="B1:N1"/>
    <mergeCell ref="I25:K25"/>
    <mergeCell ref="C18:G18"/>
    <mergeCell ref="C17:G1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D7AD-444C-4D5E-A8B2-8A08A2EC63D6}">
  <dimension ref="A1:K66"/>
  <sheetViews>
    <sheetView topLeftCell="A39" zoomScale="70" zoomScaleNormal="70" workbookViewId="0">
      <selection activeCell="C61" sqref="C61"/>
    </sheetView>
  </sheetViews>
  <sheetFormatPr defaultRowHeight="14.4" x14ac:dyDescent="0.3"/>
  <cols>
    <col min="1" max="1" width="14.88671875" customWidth="1"/>
    <col min="2" max="2" width="17.33203125" style="31" customWidth="1"/>
    <col min="3" max="3" width="17" style="32" customWidth="1"/>
    <col min="4" max="4" width="0.88671875" customWidth="1"/>
    <col min="9" max="9" width="11.21875" bestFit="1" customWidth="1"/>
    <col min="10" max="10" width="10.44140625" customWidth="1"/>
  </cols>
  <sheetData>
    <row r="1" spans="1:11" ht="21" customHeight="1" thickBot="1" x14ac:dyDescent="0.35">
      <c r="A1" s="102" t="s">
        <v>33</v>
      </c>
      <c r="B1" s="102"/>
      <c r="C1" s="102"/>
      <c r="D1" s="102"/>
    </row>
    <row r="2" spans="1:11" ht="15" x14ac:dyDescent="0.3">
      <c r="A2" s="100" t="s">
        <v>34</v>
      </c>
      <c r="B2" s="61" t="s">
        <v>35</v>
      </c>
      <c r="C2" s="62" t="s">
        <v>5</v>
      </c>
      <c r="D2" s="70"/>
    </row>
    <row r="3" spans="1:11" ht="17.399999999999999" x14ac:dyDescent="0.3">
      <c r="A3" s="101"/>
      <c r="B3" s="33" t="s">
        <v>32</v>
      </c>
      <c r="C3" s="34" t="s">
        <v>36</v>
      </c>
      <c r="D3" s="71"/>
      <c r="F3" s="124" t="s">
        <v>104</v>
      </c>
      <c r="G3" s="125"/>
      <c r="H3" s="125"/>
      <c r="I3" s="125"/>
      <c r="J3" s="126"/>
      <c r="K3" s="137" t="s">
        <v>107</v>
      </c>
    </row>
    <row r="4" spans="1:11" ht="21" x14ac:dyDescent="0.4">
      <c r="A4" s="63">
        <v>0</v>
      </c>
      <c r="B4" s="36">
        <v>8.23</v>
      </c>
      <c r="C4" s="37">
        <v>53.192100000000003</v>
      </c>
      <c r="D4" s="71"/>
      <c r="F4" s="127">
        <f>0.32486*(92^((36-A4)/39))</f>
        <v>21.106852015066316</v>
      </c>
      <c r="G4" s="128">
        <f>B4-F4</f>
        <v>-12.876852015066316</v>
      </c>
      <c r="H4" s="129"/>
      <c r="I4" s="130">
        <f>8.251*EXP(-0.11594*A4)</f>
        <v>8.2509999999999994</v>
      </c>
      <c r="J4" s="131"/>
      <c r="K4" s="137"/>
    </row>
    <row r="5" spans="1:11" ht="21" x14ac:dyDescent="0.4">
      <c r="A5" s="63">
        <v>1</v>
      </c>
      <c r="B5" s="36">
        <v>7.62</v>
      </c>
      <c r="C5" s="37">
        <v>45.603700000000003</v>
      </c>
      <c r="D5" s="71"/>
      <c r="F5" s="127">
        <f>0.3249*90^(-A5/39)*25.4</f>
        <v>7.3531706604534284</v>
      </c>
      <c r="G5" s="128">
        <f>B5-F5</f>
        <v>0.26682933954657173</v>
      </c>
      <c r="H5" s="129"/>
      <c r="I5" s="130">
        <f>8.251*EXP(-0.11594*A5)</f>
        <v>7.3477519193169156</v>
      </c>
      <c r="J5" s="131"/>
      <c r="K5" s="137"/>
    </row>
    <row r="6" spans="1:11" ht="21" x14ac:dyDescent="0.4">
      <c r="A6" s="63">
        <v>2</v>
      </c>
      <c r="B6" s="36">
        <v>7.01</v>
      </c>
      <c r="C6" s="37">
        <v>38.5989</v>
      </c>
      <c r="D6" s="71"/>
      <c r="F6" s="121">
        <f>0.127*(92^((36-A6)/39))</f>
        <v>6.543707496202785</v>
      </c>
      <c r="G6" s="128">
        <f>B6-F6</f>
        <v>0.46629250379721476</v>
      </c>
      <c r="H6" s="129"/>
      <c r="I6" s="122">
        <f>8.251*EXP(-0.11594*A6)</f>
        <v>6.5433836223276485</v>
      </c>
      <c r="J6" s="123">
        <f>0.32486*90^(-A6/39)*25.4</f>
        <v>6.551072292718084</v>
      </c>
      <c r="K6" s="137"/>
    </row>
    <row r="7" spans="1:11" ht="21" x14ac:dyDescent="0.4">
      <c r="A7" s="63">
        <v>3</v>
      </c>
      <c r="B7" s="36">
        <v>6.4009999999999998</v>
      </c>
      <c r="C7" s="37">
        <v>32.177999999999997</v>
      </c>
      <c r="D7" s="71"/>
      <c r="F7" s="121">
        <f>0.127*(92^((36-A7)/39))</f>
        <v>5.8273398130451328</v>
      </c>
      <c r="G7" s="128">
        <f>B7-F7</f>
        <v>0.57366018695486698</v>
      </c>
      <c r="H7" s="129"/>
      <c r="I7" s="130">
        <f>8.251*EXP(-0.11594*A7)</f>
        <v>5.8270706059610777</v>
      </c>
      <c r="J7" s="131"/>
      <c r="K7" s="137"/>
    </row>
    <row r="8" spans="1:11" ht="21" x14ac:dyDescent="0.4">
      <c r="A8" s="63">
        <v>4</v>
      </c>
      <c r="B8" s="36">
        <v>5.8929999999999998</v>
      </c>
      <c r="C8" s="37">
        <v>27.273</v>
      </c>
      <c r="D8" s="71"/>
      <c r="F8" s="121">
        <f>0.127*(92^((36-A8)/39))</f>
        <v>5.1893959680205972</v>
      </c>
      <c r="G8" s="128">
        <f>B8-F8</f>
        <v>0.70360403197940258</v>
      </c>
      <c r="H8" s="129"/>
      <c r="I8" s="130">
        <f>8.251*EXP(-0.11594*A8)</f>
        <v>5.1891733400734088</v>
      </c>
      <c r="J8" s="131"/>
      <c r="K8" s="137"/>
    </row>
    <row r="9" spans="1:11" ht="21" x14ac:dyDescent="0.4">
      <c r="A9" s="63">
        <v>5</v>
      </c>
      <c r="B9" s="36">
        <v>5.3849999999999998</v>
      </c>
      <c r="C9" s="37">
        <v>22.773499999999999</v>
      </c>
      <c r="D9" s="71"/>
      <c r="F9" s="121">
        <f>0.127*(92^((36-A9)/39))</f>
        <v>4.6212905677172049</v>
      </c>
      <c r="G9" s="128">
        <f>B9-F9</f>
        <v>0.76370943228279486</v>
      </c>
      <c r="H9" s="129"/>
      <c r="I9" s="130">
        <f>8.251*EXP(-0.11594*A9)</f>
        <v>4.6211075468661456</v>
      </c>
      <c r="J9" s="131"/>
      <c r="K9" s="137"/>
    </row>
    <row r="10" spans="1:11" ht="21" x14ac:dyDescent="0.4">
      <c r="A10" s="63">
        <v>6</v>
      </c>
      <c r="B10" s="36">
        <v>4.8769999999999998</v>
      </c>
      <c r="C10" s="37">
        <v>18.679300000000001</v>
      </c>
      <c r="D10" s="71"/>
      <c r="F10" s="121">
        <f>0.127*(92^((36-A10)/39))</f>
        <v>4.1153780985069099</v>
      </c>
      <c r="G10" s="128">
        <f>B10-F10</f>
        <v>0.76162190149308984</v>
      </c>
      <c r="H10" s="129"/>
      <c r="I10" s="130">
        <f>8.251*EXP(-0.11594*A10)</f>
        <v>4.115228680990862</v>
      </c>
      <c r="J10" s="131"/>
      <c r="K10" s="137"/>
    </row>
    <row r="11" spans="1:11" ht="21" x14ac:dyDescent="0.4">
      <c r="A11" s="63">
        <v>7</v>
      </c>
      <c r="B11" s="36">
        <v>4.47</v>
      </c>
      <c r="C11" s="37">
        <v>15.6958</v>
      </c>
      <c r="D11" s="71"/>
      <c r="F11" s="121">
        <f>0.127*(92^((36-A11)/39))</f>
        <v>3.6648500338805663</v>
      </c>
      <c r="G11" s="128">
        <f>B11-F11</f>
        <v>0.80514996611943346</v>
      </c>
      <c r="H11" s="129"/>
      <c r="I11" s="130">
        <f>8.251*EXP(-0.11594*A11)</f>
        <v>3.6647290557724683</v>
      </c>
      <c r="J11" s="131"/>
      <c r="K11" s="137"/>
    </row>
    <row r="12" spans="1:11" ht="21" x14ac:dyDescent="0.4">
      <c r="A12" s="63">
        <v>8</v>
      </c>
      <c r="B12" s="36">
        <v>4.0640000000000001</v>
      </c>
      <c r="C12" s="37">
        <v>12.9717</v>
      </c>
      <c r="D12" s="71"/>
      <c r="F12" s="121">
        <f>0.127*(92^((36-A12)/39))</f>
        <v>3.2636432058836329</v>
      </c>
      <c r="G12" s="128">
        <f>B12-F12</f>
        <v>0.80035679411636718</v>
      </c>
      <c r="H12" s="129"/>
      <c r="I12" s="132">
        <f>8.251*EXP(-0.11594*A12)</f>
        <v>3.2635462311633288</v>
      </c>
      <c r="J12" s="131"/>
      <c r="K12" s="137"/>
    </row>
    <row r="13" spans="1:11" ht="21" x14ac:dyDescent="0.4">
      <c r="A13" s="63">
        <v>9</v>
      </c>
      <c r="B13" s="36">
        <v>3.6579999999999999</v>
      </c>
      <c r="C13" s="37">
        <v>10.507099999999999</v>
      </c>
      <c r="D13" s="71"/>
      <c r="F13" s="121">
        <f>0.127*(92^((36-A13)/39))</f>
        <v>2.906358207523184</v>
      </c>
      <c r="G13" s="128">
        <f>B13-F13</f>
        <v>0.75164179247681595</v>
      </c>
      <c r="H13" s="129"/>
      <c r="I13" s="132">
        <f>8.251*EXP(-0.11594*A13)</f>
        <v>2.9062814305914233</v>
      </c>
      <c r="J13" s="131"/>
      <c r="K13" s="137"/>
    </row>
    <row r="14" spans="1:11" ht="21" x14ac:dyDescent="0.4">
      <c r="A14" s="63">
        <v>10</v>
      </c>
      <c r="B14" s="36">
        <v>3.2509999999999999</v>
      </c>
      <c r="C14" s="37">
        <v>8.3018999999999998</v>
      </c>
      <c r="D14" s="71"/>
      <c r="F14" s="121">
        <f>0.127*(92^((36-A14)/39))</f>
        <v>2.5881867280128645</v>
      </c>
      <c r="G14" s="128">
        <f>B14-F14</f>
        <v>0.66281327198713536</v>
      </c>
      <c r="H14" s="129"/>
      <c r="I14" s="132">
        <f>8.251*EXP(-0.11594*A14)</f>
        <v>2.5881268888259905</v>
      </c>
      <c r="J14" s="131"/>
      <c r="K14" s="137"/>
    </row>
    <row r="15" spans="1:11" ht="21" x14ac:dyDescent="0.4">
      <c r="A15" s="63">
        <v>11</v>
      </c>
      <c r="B15" s="36">
        <v>2.9460000000000002</v>
      </c>
      <c r="C15" s="37">
        <v>6.8182999999999998</v>
      </c>
      <c r="D15" s="71"/>
      <c r="F15" s="127">
        <f>0.3249*90^(-A15/39)*25.4</f>
        <v>2.3194596549779463</v>
      </c>
      <c r="G15" s="128">
        <f>B15-F15</f>
        <v>0.62654034502205391</v>
      </c>
      <c r="H15" s="129"/>
      <c r="I15" s="132">
        <f>8.251*EXP(-0.11594*A15)</f>
        <v>2.304801153170148</v>
      </c>
      <c r="J15" s="131"/>
      <c r="K15" s="137"/>
    </row>
    <row r="16" spans="1:11" ht="21" x14ac:dyDescent="0.4">
      <c r="A16" s="63">
        <v>12</v>
      </c>
      <c r="B16" s="36">
        <v>2.6419999999999999</v>
      </c>
      <c r="C16" s="37">
        <v>5.4805000000000001</v>
      </c>
      <c r="D16" s="71"/>
      <c r="F16" s="127">
        <f>0.3249*90^(-A16/39)*25.4</f>
        <v>2.0667028598853268</v>
      </c>
      <c r="G16" s="128">
        <f>B16-F16</f>
        <v>0.57529714011467314</v>
      </c>
      <c r="H16" s="129">
        <f>POWER(3,4)</f>
        <v>81</v>
      </c>
      <c r="I16" s="132">
        <f>8.251*EXP(-0.11594*A16)</f>
        <v>2.0524914673190882</v>
      </c>
      <c r="J16" s="131"/>
      <c r="K16" s="137"/>
    </row>
    <row r="17" spans="1:11" ht="21" x14ac:dyDescent="0.4">
      <c r="A17" s="63">
        <v>13</v>
      </c>
      <c r="B17" s="36">
        <v>2.3370000000000002</v>
      </c>
      <c r="C17" s="37">
        <v>4.2888000000000002</v>
      </c>
      <c r="D17" s="71"/>
      <c r="F17" s="127">
        <f>0.3249*90^(-A17/39)*25.4</f>
        <v>1.8414895477450339</v>
      </c>
      <c r="G17" s="128">
        <f>B17-F17</f>
        <v>0.49551045225496626</v>
      </c>
      <c r="H17" s="129"/>
      <c r="I17" s="132">
        <f>8.251*EXP(-0.11594*A17)</f>
        <v>1.8278024625348959</v>
      </c>
      <c r="J17" s="131"/>
      <c r="K17" s="137"/>
    </row>
    <row r="18" spans="1:11" ht="21" x14ac:dyDescent="0.4">
      <c r="A18" s="63">
        <v>14</v>
      </c>
      <c r="B18" s="36">
        <v>2.032</v>
      </c>
      <c r="C18" s="37">
        <v>3.2429000000000001</v>
      </c>
      <c r="D18" s="71"/>
      <c r="F18" s="127">
        <f>0.3249*90^(-A18/39)*25.4</f>
        <v>1.6408182425616646</v>
      </c>
      <c r="G18" s="128">
        <f>B18-F18</f>
        <v>0.39118175743833539</v>
      </c>
      <c r="H18" s="129"/>
      <c r="I18" s="132">
        <f>8.251*EXP(-0.11594*A18)</f>
        <v>1.6277104656675516</v>
      </c>
      <c r="J18" s="131"/>
      <c r="K18" s="137"/>
    </row>
    <row r="19" spans="1:11" ht="21" x14ac:dyDescent="0.4">
      <c r="A19" s="63">
        <v>15</v>
      </c>
      <c r="B19" s="36">
        <v>1.829</v>
      </c>
      <c r="C19" s="37">
        <v>2.6267999999999998</v>
      </c>
      <c r="D19" s="71"/>
      <c r="F19" s="127">
        <f>0.3249*90^(-A19/39)*25.4</f>
        <v>1.4620145460070317</v>
      </c>
      <c r="G19" s="128">
        <f>B19-F19</f>
        <v>0.36698545399296822</v>
      </c>
      <c r="H19" s="129"/>
      <c r="I19" s="132">
        <f>8.251*EXP(-0.11594*A19)</f>
        <v>1.4495228091384051</v>
      </c>
      <c r="J19" s="131"/>
      <c r="K19" s="137"/>
    </row>
    <row r="20" spans="1:11" ht="21" x14ac:dyDescent="0.4">
      <c r="A20" s="63">
        <v>16</v>
      </c>
      <c r="B20" s="36">
        <v>1.6259999999999999</v>
      </c>
      <c r="C20" s="37">
        <v>2.0754999999999999</v>
      </c>
      <c r="D20" s="71"/>
      <c r="F20" s="127">
        <f>0.3249*90^(-A20/39)*25.4</f>
        <v>1.3026954950227019</v>
      </c>
      <c r="G20" s="128">
        <f>B20-F20</f>
        <v>0.32330450497729801</v>
      </c>
      <c r="H20" s="129"/>
      <c r="I20" s="132">
        <f>8.251*EXP(-0.11594*A20)</f>
        <v>1.2908415953145518</v>
      </c>
      <c r="J20" s="131"/>
      <c r="K20" s="137"/>
    </row>
    <row r="21" spans="1:11" ht="21" x14ac:dyDescent="0.4">
      <c r="A21" s="63">
        <v>17</v>
      </c>
      <c r="B21" s="36">
        <v>1.4219999999999999</v>
      </c>
      <c r="C21" s="37">
        <v>1.589</v>
      </c>
      <c r="D21" s="71"/>
      <c r="F21" s="127">
        <f>0.3249*90^(-A21/39)*25.4</f>
        <v>1.160737803455671</v>
      </c>
      <c r="G21" s="128">
        <f>B21-F21</f>
        <v>0.26126219654432892</v>
      </c>
      <c r="H21" s="129"/>
      <c r="I21" s="132">
        <f>8.251*EXP(-0.11594*A21)</f>
        <v>1.149531427645935</v>
      </c>
      <c r="J21" s="131"/>
      <c r="K21" s="137"/>
    </row>
    <row r="22" spans="1:11" ht="21" x14ac:dyDescent="0.4">
      <c r="A22" s="63">
        <v>18</v>
      </c>
      <c r="B22" s="36">
        <v>1.2190000000000001</v>
      </c>
      <c r="C22" s="37">
        <v>1.1675</v>
      </c>
      <c r="D22" s="71"/>
      <c r="F22" s="127">
        <f>0.3249*90^(-A22/39)*25.4</f>
        <v>1.0342495644752474</v>
      </c>
      <c r="G22" s="128">
        <f>B22-F22</f>
        <v>0.18475043552475268</v>
      </c>
      <c r="H22" s="129"/>
      <c r="I22" s="132">
        <f>8.251*EXP(-0.11594*A22)</f>
        <v>1.0236906743183289</v>
      </c>
      <c r="J22" s="131"/>
      <c r="K22" s="137"/>
    </row>
    <row r="23" spans="1:11" ht="21" x14ac:dyDescent="0.4">
      <c r="A23" s="63">
        <v>19</v>
      </c>
      <c r="B23" s="36">
        <v>1.016</v>
      </c>
      <c r="C23" s="37">
        <v>0.81069999999999998</v>
      </c>
      <c r="D23" s="71"/>
      <c r="F23" s="127">
        <f>0.3249*90^(-A23/39)*25.4</f>
        <v>0.92154503664193754</v>
      </c>
      <c r="G23" s="128">
        <f>B23-F23</f>
        <v>9.4454963358062471E-2</v>
      </c>
      <c r="H23" s="129"/>
      <c r="I23" s="132">
        <f>8.251*EXP(-0.11594*A23)</f>
        <v>0.91162587771292347</v>
      </c>
      <c r="J23" s="131"/>
      <c r="K23" s="137"/>
    </row>
    <row r="24" spans="1:11" ht="21" x14ac:dyDescent="0.4">
      <c r="A24" s="63">
        <v>20</v>
      </c>
      <c r="B24" s="36">
        <v>0.91400000000000003</v>
      </c>
      <c r="C24" s="37">
        <v>0.65669999999999995</v>
      </c>
      <c r="D24" s="71"/>
      <c r="F24" s="127">
        <f>0.3249*90^(-A24/39)*25.4</f>
        <v>0.82112217759576867</v>
      </c>
      <c r="G24" s="128">
        <f>B24-F24</f>
        <v>9.2877822404231369E-2</v>
      </c>
      <c r="H24" s="129"/>
      <c r="I24" s="132">
        <f>8.251*EXP(-0.11594*A24)</f>
        <v>0.81182896529682469</v>
      </c>
      <c r="J24" s="131"/>
      <c r="K24" s="137"/>
    </row>
    <row r="25" spans="1:11" ht="21" x14ac:dyDescent="0.4">
      <c r="A25" s="63">
        <v>21</v>
      </c>
      <c r="B25" s="36">
        <v>0.81299999999999994</v>
      </c>
      <c r="C25" s="37">
        <v>0.51890000000000003</v>
      </c>
      <c r="D25" s="71"/>
      <c r="F25" s="127">
        <f>0.3249*90^(-A25/39)*25.4</f>
        <v>0.73164262594969665</v>
      </c>
      <c r="G25" s="128">
        <f>B25-F25</f>
        <v>8.1357374050303299E-2</v>
      </c>
      <c r="H25" s="129"/>
      <c r="I25" s="132">
        <f>8.251*EXP(-0.11594*A25)</f>
        <v>0.72295695526806558</v>
      </c>
      <c r="J25" s="131"/>
      <c r="K25" s="137"/>
    </row>
    <row r="26" spans="1:11" ht="21" x14ac:dyDescent="0.4">
      <c r="A26" s="63">
        <v>22</v>
      </c>
      <c r="B26" s="36">
        <v>0.71099999999999997</v>
      </c>
      <c r="C26" s="37">
        <v>0.39729999999999999</v>
      </c>
      <c r="D26" s="71"/>
      <c r="F26" s="127">
        <f>0.3249*90^(-A26/39)*25.4</f>
        <v>0.65191386460163558</v>
      </c>
      <c r="G26" s="128">
        <f>B26-F26</f>
        <v>5.9086135398364381E-2</v>
      </c>
      <c r="H26" s="129"/>
      <c r="I26" s="132">
        <f>8.251*EXP(-0.11594*A26)</f>
        <v>0.64381388385098115</v>
      </c>
      <c r="J26" s="131"/>
      <c r="K26" s="137"/>
    </row>
    <row r="27" spans="1:11" ht="21" x14ac:dyDescent="0.4">
      <c r="A27" s="63">
        <v>23</v>
      </c>
      <c r="B27" s="36">
        <v>0.61</v>
      </c>
      <c r="C27" s="37">
        <v>0.29189999999999999</v>
      </c>
      <c r="D27" s="71"/>
      <c r="F27" s="127">
        <f>0.3249*90^(-A27/39)*25.4</f>
        <v>0.58087332775094402</v>
      </c>
      <c r="G27" s="128">
        <f>B27-F27</f>
        <v>2.9126672249055963E-2</v>
      </c>
      <c r="H27" s="129"/>
      <c r="I27" s="132">
        <f>8.251*EXP(-0.11594*A27)</f>
        <v>0.57333471103489575</v>
      </c>
      <c r="J27" s="131"/>
      <c r="K27" s="137"/>
    </row>
    <row r="28" spans="1:11" ht="15" x14ac:dyDescent="0.3">
      <c r="A28" s="63">
        <v>24</v>
      </c>
      <c r="B28" s="36">
        <v>0.55900000000000005</v>
      </c>
      <c r="C28" s="37">
        <v>0.2452</v>
      </c>
      <c r="D28" s="71"/>
      <c r="F28" s="127">
        <f>0.3249*90^(-A28/39)*25.4</f>
        <v>0.51757423980948569</v>
      </c>
      <c r="G28" s="128">
        <f>B28-F28</f>
        <v>4.142576019051436E-2</v>
      </c>
      <c r="H28" s="129"/>
      <c r="I28" s="129"/>
      <c r="J28" s="131"/>
      <c r="K28" s="137"/>
    </row>
    <row r="29" spans="1:11" ht="15.6" thickBot="1" x14ac:dyDescent="0.35">
      <c r="A29" s="65">
        <v>25</v>
      </c>
      <c r="B29" s="66">
        <v>0.50800000000000001</v>
      </c>
      <c r="C29" s="67">
        <v>0.20269999999999999</v>
      </c>
      <c r="D29" s="72"/>
      <c r="F29" s="133">
        <f>0.3249*90^(-A29/39)*25.4</f>
        <v>0.46117299747876356</v>
      </c>
      <c r="G29" s="134">
        <f>B29-F29</f>
        <v>4.6827002521236449E-2</v>
      </c>
      <c r="H29" s="135"/>
      <c r="I29" s="135"/>
      <c r="J29" s="136"/>
      <c r="K29" s="137"/>
    </row>
    <row r="30" spans="1:11" ht="15" x14ac:dyDescent="0.3">
      <c r="A30" s="35">
        <v>26</v>
      </c>
      <c r="B30" s="36">
        <v>0.4572</v>
      </c>
      <c r="C30" s="64">
        <v>0.16420000000000001</v>
      </c>
      <c r="D30" s="138"/>
      <c r="F30" s="129"/>
      <c r="G30" s="128"/>
      <c r="H30" s="129"/>
      <c r="I30" s="129"/>
      <c r="J30" s="129"/>
      <c r="K30" s="139"/>
    </row>
    <row r="31" spans="1:11" ht="15" x14ac:dyDescent="0.3">
      <c r="A31" s="35">
        <v>27</v>
      </c>
      <c r="B31" s="36">
        <v>0.41660000000000003</v>
      </c>
      <c r="C31" s="64">
        <v>0.1363</v>
      </c>
      <c r="D31" s="138"/>
      <c r="F31" s="129"/>
      <c r="G31" s="128"/>
      <c r="H31" s="129"/>
      <c r="I31" s="129"/>
      <c r="J31" s="129"/>
      <c r="K31" s="139"/>
    </row>
    <row r="32" spans="1:11" ht="15" x14ac:dyDescent="0.3">
      <c r="A32" s="35">
        <v>28</v>
      </c>
      <c r="B32" s="36">
        <v>0.37590000000000001</v>
      </c>
      <c r="C32" s="64">
        <v>0.111</v>
      </c>
      <c r="D32" s="138"/>
      <c r="F32" s="129"/>
      <c r="G32" s="128"/>
      <c r="H32" s="129"/>
      <c r="I32" s="129"/>
      <c r="J32" s="129"/>
      <c r="K32" s="139"/>
    </row>
    <row r="33" spans="1:11" ht="15" x14ac:dyDescent="0.3">
      <c r="A33" s="35">
        <v>29</v>
      </c>
      <c r="B33" s="36">
        <v>0.34539999999999998</v>
      </c>
      <c r="C33" s="64">
        <v>9.3700000000000006E-2</v>
      </c>
      <c r="D33" s="138"/>
      <c r="F33" s="129"/>
      <c r="G33" s="128"/>
      <c r="H33" s="129"/>
      <c r="I33" s="129"/>
      <c r="J33" s="129"/>
      <c r="K33" s="139"/>
    </row>
    <row r="34" spans="1:11" ht="15" x14ac:dyDescent="0.3">
      <c r="A34" s="35">
        <v>30</v>
      </c>
      <c r="B34" s="36">
        <v>0.315</v>
      </c>
      <c r="C34" s="64">
        <v>7.7899999999999997E-2</v>
      </c>
      <c r="D34" s="138"/>
      <c r="F34" s="129"/>
      <c r="G34" s="128"/>
      <c r="H34" s="129"/>
      <c r="I34" s="129"/>
      <c r="J34" s="129"/>
      <c r="K34" s="139"/>
    </row>
    <row r="35" spans="1:11" ht="15" x14ac:dyDescent="0.3">
      <c r="A35" s="35">
        <v>31</v>
      </c>
      <c r="B35" s="36">
        <v>0.29459999999999997</v>
      </c>
      <c r="C35" s="64">
        <v>6.8199999999999997E-2</v>
      </c>
      <c r="D35" s="138"/>
      <c r="F35" s="129"/>
      <c r="G35" s="128"/>
      <c r="H35" s="129"/>
      <c r="I35" s="129"/>
      <c r="J35" s="129"/>
      <c r="K35" s="139"/>
    </row>
    <row r="36" spans="1:11" ht="15" x14ac:dyDescent="0.3">
      <c r="A36" s="35">
        <v>32</v>
      </c>
      <c r="B36" s="36">
        <v>0.27429999999999999</v>
      </c>
      <c r="C36" s="64">
        <v>5.91E-2</v>
      </c>
      <c r="D36" s="138"/>
      <c r="F36" s="129"/>
      <c r="G36" s="128"/>
      <c r="H36" s="129"/>
      <c r="I36" s="129"/>
      <c r="J36" s="129"/>
      <c r="K36" s="139"/>
    </row>
    <row r="37" spans="1:11" ht="15" x14ac:dyDescent="0.3">
      <c r="A37" s="35">
        <v>33</v>
      </c>
      <c r="B37" s="36">
        <v>0.254</v>
      </c>
      <c r="C37" s="64">
        <v>5.0700000000000002E-2</v>
      </c>
      <c r="D37" s="138"/>
      <c r="F37" s="129"/>
      <c r="G37" s="128"/>
      <c r="H37" s="129"/>
      <c r="I37" s="129"/>
      <c r="J37" s="129"/>
      <c r="K37" s="139"/>
    </row>
    <row r="38" spans="1:11" ht="15" x14ac:dyDescent="0.3">
      <c r="A38" s="35">
        <v>34</v>
      </c>
      <c r="B38" s="36">
        <v>0.23369999999999999</v>
      </c>
      <c r="C38" s="64">
        <v>4.2900000000000001E-2</v>
      </c>
      <c r="D38" s="138"/>
      <c r="F38" s="129"/>
      <c r="G38" s="128"/>
      <c r="H38" s="129"/>
      <c r="I38" s="129"/>
      <c r="J38" s="129"/>
      <c r="K38" s="139"/>
    </row>
    <row r="39" spans="1:11" ht="15" x14ac:dyDescent="0.3">
      <c r="A39" s="35">
        <v>35</v>
      </c>
      <c r="B39" s="36">
        <v>0.21340000000000001</v>
      </c>
      <c r="C39" s="64">
        <v>3.5799999999999998E-2</v>
      </c>
      <c r="D39" s="138"/>
      <c r="F39" s="129"/>
      <c r="G39" s="128"/>
      <c r="H39" s="129"/>
      <c r="I39" s="129"/>
      <c r="J39" s="129"/>
      <c r="K39" s="139"/>
    </row>
    <row r="40" spans="1:11" ht="15" x14ac:dyDescent="0.3">
      <c r="A40" s="35">
        <v>36</v>
      </c>
      <c r="B40" s="36">
        <v>0.193</v>
      </c>
      <c r="C40" s="64">
        <v>2.93E-2</v>
      </c>
      <c r="D40" s="138"/>
      <c r="F40" s="129"/>
      <c r="G40" s="128"/>
      <c r="H40" s="129"/>
      <c r="I40" s="129"/>
      <c r="J40" s="129"/>
      <c r="K40" s="139"/>
    </row>
    <row r="41" spans="1:11" ht="15" x14ac:dyDescent="0.3">
      <c r="A41" s="35">
        <v>37</v>
      </c>
      <c r="B41" s="36">
        <v>0.17269999999999999</v>
      </c>
      <c r="C41" s="64">
        <v>2.3400000000000001E-2</v>
      </c>
      <c r="D41" s="138"/>
      <c r="F41" s="129"/>
      <c r="G41" s="128"/>
      <c r="H41" s="129"/>
      <c r="I41" s="129"/>
      <c r="J41" s="129"/>
      <c r="K41" s="139"/>
    </row>
    <row r="42" spans="1:11" ht="15" x14ac:dyDescent="0.3">
      <c r="A42" s="35">
        <v>38</v>
      </c>
      <c r="B42" s="36">
        <v>0.15240000000000001</v>
      </c>
      <c r="C42" s="64">
        <v>1.8200000000000001E-2</v>
      </c>
      <c r="D42" s="138"/>
      <c r="F42" s="129"/>
      <c r="G42" s="128"/>
      <c r="H42" s="129"/>
      <c r="I42" s="129"/>
      <c r="J42" s="129"/>
      <c r="K42" s="139"/>
    </row>
    <row r="43" spans="1:11" ht="15" x14ac:dyDescent="0.3">
      <c r="A43" s="35">
        <v>39</v>
      </c>
      <c r="B43" s="36">
        <v>0.1321</v>
      </c>
      <c r="C43" s="64">
        <v>1.37E-2</v>
      </c>
      <c r="D43" s="138"/>
      <c r="F43" s="129"/>
      <c r="G43" s="128"/>
      <c r="H43" s="129"/>
      <c r="I43" s="129"/>
      <c r="J43" s="129"/>
      <c r="K43" s="139"/>
    </row>
    <row r="44" spans="1:11" ht="15" x14ac:dyDescent="0.3">
      <c r="A44" s="35">
        <v>40</v>
      </c>
      <c r="B44" s="36">
        <v>0.12189999999999999</v>
      </c>
      <c r="C44" s="64">
        <v>1.17E-2</v>
      </c>
      <c r="D44" s="138"/>
      <c r="F44" s="129"/>
      <c r="G44" s="128"/>
      <c r="H44" s="129"/>
      <c r="I44" s="129"/>
      <c r="J44" s="129"/>
      <c r="K44" s="139"/>
    </row>
    <row r="45" spans="1:11" ht="15" x14ac:dyDescent="0.3">
      <c r="A45" s="35">
        <v>41</v>
      </c>
      <c r="B45" s="36">
        <v>0.1118</v>
      </c>
      <c r="C45" s="64">
        <v>9.7999999999999997E-3</v>
      </c>
      <c r="D45" s="138"/>
      <c r="F45" s="129"/>
      <c r="G45" s="128"/>
      <c r="H45" s="129"/>
      <c r="I45" s="129"/>
      <c r="J45" s="129"/>
      <c r="K45" s="139"/>
    </row>
    <row r="46" spans="1:11" ht="15" x14ac:dyDescent="0.3">
      <c r="A46" s="35">
        <v>42</v>
      </c>
      <c r="B46" s="36">
        <v>0.1016</v>
      </c>
      <c r="C46" s="64">
        <v>8.0999999999999996E-3</v>
      </c>
      <c r="D46" s="138"/>
      <c r="F46" s="129"/>
      <c r="G46" s="128"/>
      <c r="H46" s="129"/>
      <c r="I46" s="129"/>
      <c r="J46" s="129"/>
      <c r="K46" s="139"/>
    </row>
    <row r="47" spans="1:11" ht="15" x14ac:dyDescent="0.3">
      <c r="A47" s="35">
        <v>43</v>
      </c>
      <c r="B47" s="36">
        <v>9.1399999999999995E-2</v>
      </c>
      <c r="C47" s="64">
        <v>6.6E-3</v>
      </c>
      <c r="D47" s="138"/>
      <c r="F47" s="129"/>
      <c r="G47" s="128"/>
      <c r="H47" s="129"/>
      <c r="I47" s="129"/>
      <c r="J47" s="129"/>
      <c r="K47" s="139"/>
    </row>
    <row r="48" spans="1:11" ht="15" x14ac:dyDescent="0.3">
      <c r="A48" s="35">
        <v>44</v>
      </c>
      <c r="B48" s="36">
        <v>8.1299999999999997E-2</v>
      </c>
      <c r="C48" s="64">
        <v>5.1999999999999998E-3</v>
      </c>
      <c r="D48" s="138"/>
      <c r="F48" s="129"/>
      <c r="G48" s="128"/>
      <c r="H48" s="129"/>
      <c r="I48" s="129"/>
      <c r="J48" s="129"/>
      <c r="K48" s="139"/>
    </row>
    <row r="49" spans="1:11" ht="15" x14ac:dyDescent="0.3">
      <c r="A49" s="35">
        <v>45</v>
      </c>
      <c r="B49" s="36">
        <v>7.1099999999999997E-2</v>
      </c>
      <c r="C49" s="64">
        <v>4.0000000000000001E-3</v>
      </c>
      <c r="D49" s="138"/>
      <c r="F49" s="129"/>
      <c r="G49" s="128"/>
      <c r="H49" s="129"/>
      <c r="I49" s="129"/>
      <c r="J49" s="129"/>
      <c r="K49" s="139"/>
    </row>
    <row r="50" spans="1:11" ht="15" x14ac:dyDescent="0.3">
      <c r="A50" s="35">
        <v>46</v>
      </c>
      <c r="B50" s="36">
        <v>6.0999999999999999E-2</v>
      </c>
      <c r="C50" s="64">
        <v>2.8999999999999998E-3</v>
      </c>
      <c r="D50" s="138"/>
      <c r="F50" s="129"/>
      <c r="G50" s="128"/>
      <c r="H50" s="129"/>
      <c r="I50" s="129"/>
      <c r="J50" s="129"/>
      <c r="K50" s="139"/>
    </row>
    <row r="51" spans="1:11" ht="15" x14ac:dyDescent="0.3">
      <c r="A51" s="35">
        <v>47</v>
      </c>
      <c r="B51" s="36">
        <v>5.0799999999999998E-2</v>
      </c>
      <c r="C51" s="64">
        <v>2E-3</v>
      </c>
      <c r="D51" s="138"/>
      <c r="F51" s="129"/>
      <c r="G51" s="128"/>
      <c r="H51" s="129"/>
      <c r="I51" s="129"/>
      <c r="J51" s="129"/>
      <c r="K51" s="139"/>
    </row>
    <row r="52" spans="1:11" ht="15" x14ac:dyDescent="0.3">
      <c r="A52" s="35">
        <v>48</v>
      </c>
      <c r="B52" s="36">
        <v>4.0599999999999997E-2</v>
      </c>
      <c r="C52" s="64">
        <v>1.2999999999999999E-3</v>
      </c>
      <c r="D52" s="138"/>
      <c r="F52" s="129"/>
      <c r="G52" s="128"/>
      <c r="H52" s="129"/>
      <c r="I52" s="129"/>
      <c r="J52" s="129"/>
      <c r="K52" s="139"/>
    </row>
    <row r="53" spans="1:11" ht="15" x14ac:dyDescent="0.3">
      <c r="A53" s="35">
        <v>49</v>
      </c>
      <c r="B53" s="36">
        <v>3.0499999999999999E-2</v>
      </c>
      <c r="C53" s="64">
        <v>6.9999999999999999E-4</v>
      </c>
      <c r="D53" s="138"/>
      <c r="F53" s="129"/>
      <c r="G53" s="128"/>
      <c r="H53" s="129"/>
      <c r="I53" s="129"/>
      <c r="J53" s="129"/>
      <c r="K53" s="139"/>
    </row>
    <row r="54" spans="1:11" ht="15" x14ac:dyDescent="0.3">
      <c r="A54" s="35">
        <v>50</v>
      </c>
      <c r="B54" s="36">
        <v>2.5399999999999999E-2</v>
      </c>
      <c r="C54" s="64">
        <v>5.0000000000000001E-4</v>
      </c>
      <c r="D54" s="138"/>
      <c r="F54" s="129"/>
      <c r="G54" s="128"/>
      <c r="H54" s="129"/>
      <c r="I54" s="129"/>
      <c r="J54" s="129"/>
      <c r="K54" s="139"/>
    </row>
    <row r="55" spans="1:11" ht="15.6" thickBot="1" x14ac:dyDescent="0.35">
      <c r="A55" s="68"/>
      <c r="B55" s="66"/>
      <c r="C55" s="69"/>
      <c r="D55" s="138"/>
      <c r="F55" s="129"/>
      <c r="G55" s="128"/>
      <c r="H55" s="129"/>
      <c r="I55" s="129"/>
      <c r="J55" s="129"/>
      <c r="K55" s="139"/>
    </row>
    <row r="57" spans="1:11" ht="18" x14ac:dyDescent="0.35">
      <c r="A57" s="131" t="s">
        <v>105</v>
      </c>
      <c r="B57" s="119"/>
      <c r="C57" s="120"/>
      <c r="D57" s="118"/>
      <c r="E57" s="118"/>
      <c r="F57" s="118"/>
      <c r="G57" s="118"/>
      <c r="H57" s="118"/>
      <c r="I57" s="118"/>
      <c r="J57" s="118"/>
    </row>
    <row r="58" spans="1:11" ht="18" x14ac:dyDescent="0.35">
      <c r="A58" s="140" t="s">
        <v>111</v>
      </c>
      <c r="B58" s="140"/>
      <c r="C58" s="140"/>
      <c r="D58" s="140"/>
      <c r="E58" s="140"/>
      <c r="F58" s="118"/>
      <c r="G58" s="118"/>
      <c r="H58" s="118"/>
      <c r="I58" s="118"/>
      <c r="J58" s="118"/>
    </row>
    <row r="59" spans="1:11" ht="18" x14ac:dyDescent="0.35">
      <c r="A59" s="117" t="s">
        <v>106</v>
      </c>
      <c r="B59" s="119">
        <v>25</v>
      </c>
      <c r="C59" s="120" t="s">
        <v>108</v>
      </c>
      <c r="D59" s="118"/>
      <c r="E59" s="118"/>
      <c r="F59" s="118"/>
      <c r="G59" s="118"/>
      <c r="H59" s="118"/>
      <c r="I59" s="118"/>
      <c r="J59" s="118"/>
    </row>
    <row r="60" spans="1:11" ht="18" x14ac:dyDescent="0.35">
      <c r="A60" s="117" t="s">
        <v>109</v>
      </c>
      <c r="B60" s="119">
        <f>VLOOKUP(B59,A4:B29,2,FALSE)</f>
        <v>0.50800000000000001</v>
      </c>
      <c r="C60" s="120" t="s">
        <v>110</v>
      </c>
      <c r="D60" s="118"/>
      <c r="E60" s="118"/>
      <c r="F60" s="118"/>
      <c r="G60" s="118"/>
      <c r="H60" s="118"/>
      <c r="I60" s="118"/>
      <c r="J60" s="118"/>
    </row>
    <row r="61" spans="1:11" ht="18" x14ac:dyDescent="0.35">
      <c r="A61" s="118"/>
      <c r="B61" s="119"/>
      <c r="C61" s="120"/>
      <c r="D61" s="118"/>
      <c r="E61" s="118"/>
      <c r="F61" s="118"/>
      <c r="G61" s="118"/>
      <c r="H61" s="118"/>
      <c r="I61" s="118"/>
      <c r="J61" s="118"/>
    </row>
    <row r="62" spans="1:11" ht="18" x14ac:dyDescent="0.35">
      <c r="A62" s="118"/>
      <c r="B62" s="119"/>
      <c r="C62" s="120"/>
      <c r="D62" s="118"/>
      <c r="E62" s="118"/>
      <c r="F62" s="118"/>
      <c r="G62" s="118"/>
      <c r="H62" s="118"/>
      <c r="I62" s="118"/>
      <c r="J62" s="118"/>
    </row>
    <row r="63" spans="1:11" ht="18" x14ac:dyDescent="0.35">
      <c r="A63" s="118"/>
      <c r="B63" s="119"/>
      <c r="C63" s="120"/>
      <c r="D63" s="118"/>
      <c r="E63" s="118"/>
      <c r="F63" s="118"/>
      <c r="G63" s="118"/>
      <c r="H63" s="118"/>
      <c r="I63" s="118"/>
      <c r="J63" s="118"/>
    </row>
    <row r="64" spans="1:11" ht="18" x14ac:dyDescent="0.35">
      <c r="A64" s="118"/>
      <c r="B64" s="119"/>
      <c r="C64" s="120"/>
      <c r="D64" s="118"/>
      <c r="E64" s="118"/>
      <c r="F64" s="118"/>
      <c r="G64" s="118"/>
      <c r="H64" s="118"/>
      <c r="I64" s="118"/>
      <c r="J64" s="118"/>
    </row>
    <row r="65" spans="1:10" ht="18" x14ac:dyDescent="0.35">
      <c r="A65" s="118"/>
      <c r="B65" s="119"/>
      <c r="C65" s="120"/>
      <c r="D65" s="118"/>
      <c r="E65" s="118"/>
      <c r="F65" s="118"/>
      <c r="G65" s="118"/>
      <c r="H65" s="118"/>
      <c r="I65" s="118"/>
      <c r="J65" s="118"/>
    </row>
    <row r="66" spans="1:10" ht="18" x14ac:dyDescent="0.35">
      <c r="A66" s="118"/>
      <c r="B66" s="119"/>
      <c r="C66" s="120"/>
      <c r="D66" s="118"/>
      <c r="E66" s="118"/>
      <c r="F66" s="118"/>
      <c r="G66" s="118"/>
      <c r="H66" s="118"/>
      <c r="I66" s="118"/>
      <c r="J66" s="118"/>
    </row>
  </sheetData>
  <mergeCells count="4">
    <mergeCell ref="A2:A3"/>
    <mergeCell ref="A1:D1"/>
    <mergeCell ref="K3:K29"/>
    <mergeCell ref="A58:E5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58AD-0C13-4430-8E29-0364903F5CAD}">
  <dimension ref="A1:F36"/>
  <sheetViews>
    <sheetView tabSelected="1" view="pageBreakPreview" topLeftCell="A24" zoomScale="115" zoomScaleNormal="100" zoomScaleSheetLayoutView="115" workbookViewId="0">
      <selection activeCell="D38" sqref="D38"/>
    </sheetView>
  </sheetViews>
  <sheetFormatPr defaultRowHeight="14.4" x14ac:dyDescent="0.3"/>
  <cols>
    <col min="1" max="2" width="5" customWidth="1"/>
    <col min="3" max="3" width="32.88671875" customWidth="1"/>
    <col min="4" max="4" width="11.33203125" customWidth="1"/>
    <col min="5" max="5" width="9.109375" customWidth="1"/>
    <col min="6" max="6" width="19.33203125" customWidth="1"/>
    <col min="257" max="258" width="5" customWidth="1"/>
    <col min="259" max="259" width="32.88671875" customWidth="1"/>
    <col min="260" max="260" width="11.33203125" customWidth="1"/>
    <col min="262" max="262" width="19.33203125" customWidth="1"/>
    <col min="513" max="514" width="5" customWidth="1"/>
    <col min="515" max="515" width="32.88671875" customWidth="1"/>
    <col min="516" max="516" width="11.33203125" customWidth="1"/>
    <col min="518" max="518" width="19.33203125" customWidth="1"/>
    <col min="769" max="770" width="5" customWidth="1"/>
    <col min="771" max="771" width="32.88671875" customWidth="1"/>
    <col min="772" max="772" width="11.33203125" customWidth="1"/>
    <col min="774" max="774" width="19.33203125" customWidth="1"/>
    <col min="1025" max="1026" width="5" customWidth="1"/>
    <col min="1027" max="1027" width="32.88671875" customWidth="1"/>
    <col min="1028" max="1028" width="11.33203125" customWidth="1"/>
    <col min="1030" max="1030" width="19.33203125" customWidth="1"/>
    <col min="1281" max="1282" width="5" customWidth="1"/>
    <col min="1283" max="1283" width="32.88671875" customWidth="1"/>
    <col min="1284" max="1284" width="11.33203125" customWidth="1"/>
    <col min="1286" max="1286" width="19.33203125" customWidth="1"/>
    <col min="1537" max="1538" width="5" customWidth="1"/>
    <col min="1539" max="1539" width="32.88671875" customWidth="1"/>
    <col min="1540" max="1540" width="11.33203125" customWidth="1"/>
    <col min="1542" max="1542" width="19.33203125" customWidth="1"/>
    <col min="1793" max="1794" width="5" customWidth="1"/>
    <col min="1795" max="1795" width="32.88671875" customWidth="1"/>
    <col min="1796" max="1796" width="11.33203125" customWidth="1"/>
    <col min="1798" max="1798" width="19.33203125" customWidth="1"/>
    <col min="2049" max="2050" width="5" customWidth="1"/>
    <col min="2051" max="2051" width="32.88671875" customWidth="1"/>
    <col min="2052" max="2052" width="11.33203125" customWidth="1"/>
    <col min="2054" max="2054" width="19.33203125" customWidth="1"/>
    <col min="2305" max="2306" width="5" customWidth="1"/>
    <col min="2307" max="2307" width="32.88671875" customWidth="1"/>
    <col min="2308" max="2308" width="11.33203125" customWidth="1"/>
    <col min="2310" max="2310" width="19.33203125" customWidth="1"/>
    <col min="2561" max="2562" width="5" customWidth="1"/>
    <col min="2563" max="2563" width="32.88671875" customWidth="1"/>
    <col min="2564" max="2564" width="11.33203125" customWidth="1"/>
    <col min="2566" max="2566" width="19.33203125" customWidth="1"/>
    <col min="2817" max="2818" width="5" customWidth="1"/>
    <col min="2819" max="2819" width="32.88671875" customWidth="1"/>
    <col min="2820" max="2820" width="11.33203125" customWidth="1"/>
    <col min="2822" max="2822" width="19.33203125" customWidth="1"/>
    <col min="3073" max="3074" width="5" customWidth="1"/>
    <col min="3075" max="3075" width="32.88671875" customWidth="1"/>
    <col min="3076" max="3076" width="11.33203125" customWidth="1"/>
    <col min="3078" max="3078" width="19.33203125" customWidth="1"/>
    <col min="3329" max="3330" width="5" customWidth="1"/>
    <col min="3331" max="3331" width="32.88671875" customWidth="1"/>
    <col min="3332" max="3332" width="11.33203125" customWidth="1"/>
    <col min="3334" max="3334" width="19.33203125" customWidth="1"/>
    <col min="3585" max="3586" width="5" customWidth="1"/>
    <col min="3587" max="3587" width="32.88671875" customWidth="1"/>
    <col min="3588" max="3588" width="11.33203125" customWidth="1"/>
    <col min="3590" max="3590" width="19.33203125" customWidth="1"/>
    <col min="3841" max="3842" width="5" customWidth="1"/>
    <col min="3843" max="3843" width="32.88671875" customWidth="1"/>
    <col min="3844" max="3844" width="11.33203125" customWidth="1"/>
    <col min="3846" max="3846" width="19.33203125" customWidth="1"/>
    <col min="4097" max="4098" width="5" customWidth="1"/>
    <col min="4099" max="4099" width="32.88671875" customWidth="1"/>
    <col min="4100" max="4100" width="11.33203125" customWidth="1"/>
    <col min="4102" max="4102" width="19.33203125" customWidth="1"/>
    <col min="4353" max="4354" width="5" customWidth="1"/>
    <col min="4355" max="4355" width="32.88671875" customWidth="1"/>
    <col min="4356" max="4356" width="11.33203125" customWidth="1"/>
    <col min="4358" max="4358" width="19.33203125" customWidth="1"/>
    <col min="4609" max="4610" width="5" customWidth="1"/>
    <col min="4611" max="4611" width="32.88671875" customWidth="1"/>
    <col min="4612" max="4612" width="11.33203125" customWidth="1"/>
    <col min="4614" max="4614" width="19.33203125" customWidth="1"/>
    <col min="4865" max="4866" width="5" customWidth="1"/>
    <col min="4867" max="4867" width="32.88671875" customWidth="1"/>
    <col min="4868" max="4868" width="11.33203125" customWidth="1"/>
    <col min="4870" max="4870" width="19.33203125" customWidth="1"/>
    <col min="5121" max="5122" width="5" customWidth="1"/>
    <col min="5123" max="5123" width="32.88671875" customWidth="1"/>
    <col min="5124" max="5124" width="11.33203125" customWidth="1"/>
    <col min="5126" max="5126" width="19.33203125" customWidth="1"/>
    <col min="5377" max="5378" width="5" customWidth="1"/>
    <col min="5379" max="5379" width="32.88671875" customWidth="1"/>
    <col min="5380" max="5380" width="11.33203125" customWidth="1"/>
    <col min="5382" max="5382" width="19.33203125" customWidth="1"/>
    <col min="5633" max="5634" width="5" customWidth="1"/>
    <col min="5635" max="5635" width="32.88671875" customWidth="1"/>
    <col min="5636" max="5636" width="11.33203125" customWidth="1"/>
    <col min="5638" max="5638" width="19.33203125" customWidth="1"/>
    <col min="5889" max="5890" width="5" customWidth="1"/>
    <col min="5891" max="5891" width="32.88671875" customWidth="1"/>
    <col min="5892" max="5892" width="11.33203125" customWidth="1"/>
    <col min="5894" max="5894" width="19.33203125" customWidth="1"/>
    <col min="6145" max="6146" width="5" customWidth="1"/>
    <col min="6147" max="6147" width="32.88671875" customWidth="1"/>
    <col min="6148" max="6148" width="11.33203125" customWidth="1"/>
    <col min="6150" max="6150" width="19.33203125" customWidth="1"/>
    <col min="6401" max="6402" width="5" customWidth="1"/>
    <col min="6403" max="6403" width="32.88671875" customWidth="1"/>
    <col min="6404" max="6404" width="11.33203125" customWidth="1"/>
    <col min="6406" max="6406" width="19.33203125" customWidth="1"/>
    <col min="6657" max="6658" width="5" customWidth="1"/>
    <col min="6659" max="6659" width="32.88671875" customWidth="1"/>
    <col min="6660" max="6660" width="11.33203125" customWidth="1"/>
    <col min="6662" max="6662" width="19.33203125" customWidth="1"/>
    <col min="6913" max="6914" width="5" customWidth="1"/>
    <col min="6915" max="6915" width="32.88671875" customWidth="1"/>
    <col min="6916" max="6916" width="11.33203125" customWidth="1"/>
    <col min="6918" max="6918" width="19.33203125" customWidth="1"/>
    <col min="7169" max="7170" width="5" customWidth="1"/>
    <col min="7171" max="7171" width="32.88671875" customWidth="1"/>
    <col min="7172" max="7172" width="11.33203125" customWidth="1"/>
    <col min="7174" max="7174" width="19.33203125" customWidth="1"/>
    <col min="7425" max="7426" width="5" customWidth="1"/>
    <col min="7427" max="7427" width="32.88671875" customWidth="1"/>
    <col min="7428" max="7428" width="11.33203125" customWidth="1"/>
    <col min="7430" max="7430" width="19.33203125" customWidth="1"/>
    <col min="7681" max="7682" width="5" customWidth="1"/>
    <col min="7683" max="7683" width="32.88671875" customWidth="1"/>
    <col min="7684" max="7684" width="11.33203125" customWidth="1"/>
    <col min="7686" max="7686" width="19.33203125" customWidth="1"/>
    <col min="7937" max="7938" width="5" customWidth="1"/>
    <col min="7939" max="7939" width="32.88671875" customWidth="1"/>
    <col min="7940" max="7940" width="11.33203125" customWidth="1"/>
    <col min="7942" max="7942" width="19.33203125" customWidth="1"/>
    <col min="8193" max="8194" width="5" customWidth="1"/>
    <col min="8195" max="8195" width="32.88671875" customWidth="1"/>
    <col min="8196" max="8196" width="11.33203125" customWidth="1"/>
    <col min="8198" max="8198" width="19.33203125" customWidth="1"/>
    <col min="8449" max="8450" width="5" customWidth="1"/>
    <col min="8451" max="8451" width="32.88671875" customWidth="1"/>
    <col min="8452" max="8452" width="11.33203125" customWidth="1"/>
    <col min="8454" max="8454" width="19.33203125" customWidth="1"/>
    <col min="8705" max="8706" width="5" customWidth="1"/>
    <col min="8707" max="8707" width="32.88671875" customWidth="1"/>
    <col min="8708" max="8708" width="11.33203125" customWidth="1"/>
    <col min="8710" max="8710" width="19.33203125" customWidth="1"/>
    <col min="8961" max="8962" width="5" customWidth="1"/>
    <col min="8963" max="8963" width="32.88671875" customWidth="1"/>
    <col min="8964" max="8964" width="11.33203125" customWidth="1"/>
    <col min="8966" max="8966" width="19.33203125" customWidth="1"/>
    <col min="9217" max="9218" width="5" customWidth="1"/>
    <col min="9219" max="9219" width="32.88671875" customWidth="1"/>
    <col min="9220" max="9220" width="11.33203125" customWidth="1"/>
    <col min="9222" max="9222" width="19.33203125" customWidth="1"/>
    <col min="9473" max="9474" width="5" customWidth="1"/>
    <col min="9475" max="9475" width="32.88671875" customWidth="1"/>
    <col min="9476" max="9476" width="11.33203125" customWidth="1"/>
    <col min="9478" max="9478" width="19.33203125" customWidth="1"/>
    <col min="9729" max="9730" width="5" customWidth="1"/>
    <col min="9731" max="9731" width="32.88671875" customWidth="1"/>
    <col min="9732" max="9732" width="11.33203125" customWidth="1"/>
    <col min="9734" max="9734" width="19.33203125" customWidth="1"/>
    <col min="9985" max="9986" width="5" customWidth="1"/>
    <col min="9987" max="9987" width="32.88671875" customWidth="1"/>
    <col min="9988" max="9988" width="11.33203125" customWidth="1"/>
    <col min="9990" max="9990" width="19.33203125" customWidth="1"/>
    <col min="10241" max="10242" width="5" customWidth="1"/>
    <col min="10243" max="10243" width="32.88671875" customWidth="1"/>
    <col min="10244" max="10244" width="11.33203125" customWidth="1"/>
    <col min="10246" max="10246" width="19.33203125" customWidth="1"/>
    <col min="10497" max="10498" width="5" customWidth="1"/>
    <col min="10499" max="10499" width="32.88671875" customWidth="1"/>
    <col min="10500" max="10500" width="11.33203125" customWidth="1"/>
    <col min="10502" max="10502" width="19.33203125" customWidth="1"/>
    <col min="10753" max="10754" width="5" customWidth="1"/>
    <col min="10755" max="10755" width="32.88671875" customWidth="1"/>
    <col min="10756" max="10756" width="11.33203125" customWidth="1"/>
    <col min="10758" max="10758" width="19.33203125" customWidth="1"/>
    <col min="11009" max="11010" width="5" customWidth="1"/>
    <col min="11011" max="11011" width="32.88671875" customWidth="1"/>
    <col min="11012" max="11012" width="11.33203125" customWidth="1"/>
    <col min="11014" max="11014" width="19.33203125" customWidth="1"/>
    <col min="11265" max="11266" width="5" customWidth="1"/>
    <col min="11267" max="11267" width="32.88671875" customWidth="1"/>
    <col min="11268" max="11268" width="11.33203125" customWidth="1"/>
    <col min="11270" max="11270" width="19.33203125" customWidth="1"/>
    <col min="11521" max="11522" width="5" customWidth="1"/>
    <col min="11523" max="11523" width="32.88671875" customWidth="1"/>
    <col min="11524" max="11524" width="11.33203125" customWidth="1"/>
    <col min="11526" max="11526" width="19.33203125" customWidth="1"/>
    <col min="11777" max="11778" width="5" customWidth="1"/>
    <col min="11779" max="11779" width="32.88671875" customWidth="1"/>
    <col min="11780" max="11780" width="11.33203125" customWidth="1"/>
    <col min="11782" max="11782" width="19.33203125" customWidth="1"/>
    <col min="12033" max="12034" width="5" customWidth="1"/>
    <col min="12035" max="12035" width="32.88671875" customWidth="1"/>
    <col min="12036" max="12036" width="11.33203125" customWidth="1"/>
    <col min="12038" max="12038" width="19.33203125" customWidth="1"/>
    <col min="12289" max="12290" width="5" customWidth="1"/>
    <col min="12291" max="12291" width="32.88671875" customWidth="1"/>
    <col min="12292" max="12292" width="11.33203125" customWidth="1"/>
    <col min="12294" max="12294" width="19.33203125" customWidth="1"/>
    <col min="12545" max="12546" width="5" customWidth="1"/>
    <col min="12547" max="12547" width="32.88671875" customWidth="1"/>
    <col min="12548" max="12548" width="11.33203125" customWidth="1"/>
    <col min="12550" max="12550" width="19.33203125" customWidth="1"/>
    <col min="12801" max="12802" width="5" customWidth="1"/>
    <col min="12803" max="12803" width="32.88671875" customWidth="1"/>
    <col min="12804" max="12804" width="11.33203125" customWidth="1"/>
    <col min="12806" max="12806" width="19.33203125" customWidth="1"/>
    <col min="13057" max="13058" width="5" customWidth="1"/>
    <col min="13059" max="13059" width="32.88671875" customWidth="1"/>
    <col min="13060" max="13060" width="11.33203125" customWidth="1"/>
    <col min="13062" max="13062" width="19.33203125" customWidth="1"/>
    <col min="13313" max="13314" width="5" customWidth="1"/>
    <col min="13315" max="13315" width="32.88671875" customWidth="1"/>
    <col min="13316" max="13316" width="11.33203125" customWidth="1"/>
    <col min="13318" max="13318" width="19.33203125" customWidth="1"/>
    <col min="13569" max="13570" width="5" customWidth="1"/>
    <col min="13571" max="13571" width="32.88671875" customWidth="1"/>
    <col min="13572" max="13572" width="11.33203125" customWidth="1"/>
    <col min="13574" max="13574" width="19.33203125" customWidth="1"/>
    <col min="13825" max="13826" width="5" customWidth="1"/>
    <col min="13827" max="13827" width="32.88671875" customWidth="1"/>
    <col min="13828" max="13828" width="11.33203125" customWidth="1"/>
    <col min="13830" max="13830" width="19.33203125" customWidth="1"/>
    <col min="14081" max="14082" width="5" customWidth="1"/>
    <col min="14083" max="14083" width="32.88671875" customWidth="1"/>
    <col min="14084" max="14084" width="11.33203125" customWidth="1"/>
    <col min="14086" max="14086" width="19.33203125" customWidth="1"/>
    <col min="14337" max="14338" width="5" customWidth="1"/>
    <col min="14339" max="14339" width="32.88671875" customWidth="1"/>
    <col min="14340" max="14340" width="11.33203125" customWidth="1"/>
    <col min="14342" max="14342" width="19.33203125" customWidth="1"/>
    <col min="14593" max="14594" width="5" customWidth="1"/>
    <col min="14595" max="14595" width="32.88671875" customWidth="1"/>
    <col min="14596" max="14596" width="11.33203125" customWidth="1"/>
    <col min="14598" max="14598" width="19.33203125" customWidth="1"/>
    <col min="14849" max="14850" width="5" customWidth="1"/>
    <col min="14851" max="14851" width="32.88671875" customWidth="1"/>
    <col min="14852" max="14852" width="11.33203125" customWidth="1"/>
    <col min="14854" max="14854" width="19.33203125" customWidth="1"/>
    <col min="15105" max="15106" width="5" customWidth="1"/>
    <col min="15107" max="15107" width="32.88671875" customWidth="1"/>
    <col min="15108" max="15108" width="11.33203125" customWidth="1"/>
    <col min="15110" max="15110" width="19.33203125" customWidth="1"/>
    <col min="15361" max="15362" width="5" customWidth="1"/>
    <col min="15363" max="15363" width="32.88671875" customWidth="1"/>
    <col min="15364" max="15364" width="11.33203125" customWidth="1"/>
    <col min="15366" max="15366" width="19.33203125" customWidth="1"/>
    <col min="15617" max="15618" width="5" customWidth="1"/>
    <col min="15619" max="15619" width="32.88671875" customWidth="1"/>
    <col min="15620" max="15620" width="11.33203125" customWidth="1"/>
    <col min="15622" max="15622" width="19.33203125" customWidth="1"/>
    <col min="15873" max="15874" width="5" customWidth="1"/>
    <col min="15875" max="15875" width="32.88671875" customWidth="1"/>
    <col min="15876" max="15876" width="11.33203125" customWidth="1"/>
    <col min="15878" max="15878" width="19.33203125" customWidth="1"/>
    <col min="16129" max="16130" width="5" customWidth="1"/>
    <col min="16131" max="16131" width="32.88671875" customWidth="1"/>
    <col min="16132" max="16132" width="11.33203125" customWidth="1"/>
    <col min="16134" max="16134" width="19.33203125" customWidth="1"/>
  </cols>
  <sheetData>
    <row r="1" spans="1:6" ht="21" x14ac:dyDescent="0.5">
      <c r="A1" s="105" t="s">
        <v>37</v>
      </c>
      <c r="B1" s="105"/>
      <c r="C1" s="105"/>
      <c r="D1" s="105"/>
      <c r="E1" s="105"/>
      <c r="F1" s="105"/>
    </row>
    <row r="3" spans="1:6" ht="18" customHeight="1" x14ac:dyDescent="0.3">
      <c r="A3" s="103" t="s">
        <v>38</v>
      </c>
      <c r="B3" s="103"/>
      <c r="C3" s="103"/>
      <c r="D3" s="103"/>
      <c r="E3" s="103" t="s">
        <v>39</v>
      </c>
      <c r="F3" s="103"/>
    </row>
    <row r="4" spans="1:6" ht="18" customHeight="1" x14ac:dyDescent="0.3">
      <c r="A4" s="103" t="s">
        <v>40</v>
      </c>
      <c r="B4" s="103"/>
      <c r="C4" s="103"/>
      <c r="D4" s="103"/>
      <c r="E4" s="103" t="s">
        <v>41</v>
      </c>
      <c r="F4" s="103"/>
    </row>
    <row r="5" spans="1:6" ht="18" customHeight="1" x14ac:dyDescent="0.3">
      <c r="A5" s="103" t="s">
        <v>42</v>
      </c>
      <c r="B5" s="103"/>
      <c r="C5" s="103"/>
      <c r="D5" s="103"/>
      <c r="E5" s="103" t="s">
        <v>43</v>
      </c>
      <c r="F5" s="103"/>
    </row>
    <row r="6" spans="1:6" ht="18" customHeight="1" x14ac:dyDescent="0.3">
      <c r="A6" s="103" t="s">
        <v>44</v>
      </c>
      <c r="B6" s="103"/>
      <c r="C6" s="103"/>
      <c r="D6" s="103"/>
      <c r="E6" s="103" t="s">
        <v>45</v>
      </c>
      <c r="F6" s="103"/>
    </row>
    <row r="7" spans="1:6" ht="18" customHeight="1" thickBot="1" x14ac:dyDescent="0.35">
      <c r="A7" s="106" t="s">
        <v>46</v>
      </c>
      <c r="B7" s="106"/>
      <c r="C7" s="106"/>
      <c r="E7" s="103" t="s">
        <v>47</v>
      </c>
      <c r="F7" s="103"/>
    </row>
    <row r="8" spans="1:6" ht="16.5" customHeight="1" x14ac:dyDescent="0.3">
      <c r="A8" s="38" t="s">
        <v>1</v>
      </c>
      <c r="B8" s="39"/>
      <c r="C8" s="39" t="s">
        <v>48</v>
      </c>
      <c r="D8" s="39" t="s">
        <v>49</v>
      </c>
      <c r="E8" s="39" t="s">
        <v>50</v>
      </c>
      <c r="F8" s="40" t="s">
        <v>51</v>
      </c>
    </row>
    <row r="9" spans="1:6" ht="18.75" customHeight="1" x14ac:dyDescent="0.3">
      <c r="A9" s="41">
        <v>1</v>
      </c>
      <c r="B9" s="107" t="s">
        <v>52</v>
      </c>
      <c r="C9" s="42" t="s">
        <v>53</v>
      </c>
      <c r="D9" s="42"/>
      <c r="E9" s="42"/>
      <c r="F9" s="43"/>
    </row>
    <row r="10" spans="1:6" ht="18.75" customHeight="1" x14ac:dyDescent="0.3">
      <c r="A10" s="41">
        <v>2</v>
      </c>
      <c r="B10" s="107"/>
      <c r="C10" s="42" t="s">
        <v>54</v>
      </c>
      <c r="D10" s="42"/>
      <c r="E10" s="42"/>
      <c r="F10" s="43"/>
    </row>
    <row r="11" spans="1:6" ht="18.75" customHeight="1" x14ac:dyDescent="0.3">
      <c r="A11" s="41">
        <v>3</v>
      </c>
      <c r="B11" s="107"/>
      <c r="C11" s="42" t="s">
        <v>55</v>
      </c>
      <c r="D11" s="42"/>
      <c r="E11" s="42"/>
      <c r="F11" s="43"/>
    </row>
    <row r="12" spans="1:6" ht="18.75" customHeight="1" x14ac:dyDescent="0.3">
      <c r="A12" s="41">
        <v>4</v>
      </c>
      <c r="B12" s="107"/>
      <c r="C12" s="42" t="s">
        <v>56</v>
      </c>
      <c r="D12" s="42"/>
      <c r="E12" s="42"/>
      <c r="F12" s="43"/>
    </row>
    <row r="13" spans="1:6" ht="18.75" customHeight="1" thickBot="1" x14ac:dyDescent="0.35">
      <c r="A13" s="44">
        <v>5</v>
      </c>
      <c r="B13" s="108"/>
      <c r="C13" s="45" t="s">
        <v>57</v>
      </c>
      <c r="D13" s="45"/>
      <c r="E13" s="45"/>
      <c r="F13" s="46"/>
    </row>
    <row r="14" spans="1:6" ht="48" customHeight="1" x14ac:dyDescent="0.3">
      <c r="A14" s="103" t="s">
        <v>58</v>
      </c>
      <c r="B14" s="103"/>
      <c r="C14" s="103"/>
      <c r="D14" s="104" t="s">
        <v>59</v>
      </c>
      <c r="E14" s="104"/>
      <c r="F14" s="104"/>
    </row>
    <row r="15" spans="1:6" x14ac:dyDescent="0.3">
      <c r="A15" s="103" t="s">
        <v>60</v>
      </c>
      <c r="B15" s="103"/>
      <c r="C15" s="103"/>
      <c r="D15" s="104" t="s">
        <v>61</v>
      </c>
      <c r="E15" s="104"/>
      <c r="F15" s="104"/>
    </row>
    <row r="16" spans="1:6" ht="18.75" customHeight="1" thickBot="1" x14ac:dyDescent="0.35">
      <c r="B16" s="47"/>
    </row>
    <row r="17" spans="1:6" ht="18.75" customHeight="1" x14ac:dyDescent="0.3">
      <c r="A17" s="48">
        <v>1</v>
      </c>
      <c r="B17" s="109" t="s">
        <v>62</v>
      </c>
      <c r="C17" s="49" t="s">
        <v>63</v>
      </c>
      <c r="D17" s="110" t="s">
        <v>64</v>
      </c>
      <c r="E17" s="110"/>
      <c r="F17" s="50" t="s">
        <v>51</v>
      </c>
    </row>
    <row r="18" spans="1:6" ht="18.75" customHeight="1" x14ac:dyDescent="0.3">
      <c r="A18" s="41">
        <v>2</v>
      </c>
      <c r="B18" s="107"/>
      <c r="C18" s="42" t="s">
        <v>65</v>
      </c>
      <c r="D18" s="111"/>
      <c r="E18" s="111"/>
      <c r="F18" s="43"/>
    </row>
    <row r="19" spans="1:6" ht="18.75" customHeight="1" x14ac:dyDescent="0.3">
      <c r="A19" s="41">
        <v>3</v>
      </c>
      <c r="B19" s="107"/>
      <c r="C19" s="42" t="s">
        <v>66</v>
      </c>
      <c r="D19" s="111"/>
      <c r="E19" s="111"/>
      <c r="F19" s="43"/>
    </row>
    <row r="20" spans="1:6" ht="18.75" customHeight="1" x14ac:dyDescent="0.3">
      <c r="A20" s="41">
        <v>4</v>
      </c>
      <c r="B20" s="107"/>
      <c r="C20" s="42" t="s">
        <v>67</v>
      </c>
      <c r="D20" s="111"/>
      <c r="E20" s="111"/>
      <c r="F20" s="43"/>
    </row>
    <row r="21" spans="1:6" ht="18.75" customHeight="1" x14ac:dyDescent="0.3">
      <c r="A21" s="41">
        <v>5</v>
      </c>
      <c r="B21" s="107"/>
      <c r="C21" s="42" t="s">
        <v>68</v>
      </c>
      <c r="D21" s="111"/>
      <c r="E21" s="111"/>
      <c r="F21" s="43"/>
    </row>
    <row r="22" spans="1:6" ht="18.75" customHeight="1" thickBot="1" x14ac:dyDescent="0.35">
      <c r="A22" s="44">
        <v>6</v>
      </c>
      <c r="B22" s="108"/>
      <c r="C22" s="45" t="s">
        <v>69</v>
      </c>
      <c r="D22" s="112"/>
      <c r="E22" s="113"/>
      <c r="F22" s="46"/>
    </row>
    <row r="23" spans="1:6" ht="48" customHeight="1" x14ac:dyDescent="0.3">
      <c r="A23" s="114" t="s">
        <v>58</v>
      </c>
      <c r="B23" s="114"/>
      <c r="C23" s="114"/>
      <c r="D23" s="115" t="s">
        <v>70</v>
      </c>
      <c r="E23" s="115"/>
      <c r="F23" s="115"/>
    </row>
    <row r="24" spans="1:6" x14ac:dyDescent="0.3">
      <c r="A24" s="114" t="s">
        <v>60</v>
      </c>
      <c r="B24" s="114"/>
      <c r="C24" s="114"/>
      <c r="D24" s="115" t="s">
        <v>61</v>
      </c>
      <c r="E24" s="115"/>
      <c r="F24" s="115"/>
    </row>
    <row r="25" spans="1:6" ht="15" thickBot="1" x14ac:dyDescent="0.35"/>
    <row r="26" spans="1:6" ht="18.75" customHeight="1" x14ac:dyDescent="0.3">
      <c r="A26" s="48">
        <v>1</v>
      </c>
      <c r="B26" s="109" t="s">
        <v>71</v>
      </c>
      <c r="C26" s="49" t="s">
        <v>72</v>
      </c>
      <c r="D26" s="110"/>
      <c r="E26" s="110"/>
      <c r="F26" s="50"/>
    </row>
    <row r="27" spans="1:6" ht="18.75" customHeight="1" x14ac:dyDescent="0.3">
      <c r="A27" s="41">
        <v>2</v>
      </c>
      <c r="B27" s="107"/>
      <c r="C27" s="42" t="s">
        <v>73</v>
      </c>
      <c r="D27" s="111"/>
      <c r="E27" s="111"/>
      <c r="F27" s="43"/>
    </row>
    <row r="28" spans="1:6" ht="18.75" customHeight="1" x14ac:dyDescent="0.3">
      <c r="A28" s="41">
        <v>3</v>
      </c>
      <c r="B28" s="107"/>
      <c r="C28" s="42" t="s">
        <v>74</v>
      </c>
      <c r="D28" s="111"/>
      <c r="E28" s="111"/>
      <c r="F28" s="43"/>
    </row>
    <row r="29" spans="1:6" ht="18.75" customHeight="1" x14ac:dyDescent="0.3">
      <c r="A29" s="41">
        <v>4</v>
      </c>
      <c r="B29" s="107"/>
      <c r="C29" s="42" t="s">
        <v>75</v>
      </c>
      <c r="D29" s="111"/>
      <c r="E29" s="111"/>
      <c r="F29" s="43"/>
    </row>
    <row r="30" spans="1:6" ht="18.75" customHeight="1" x14ac:dyDescent="0.3">
      <c r="A30" s="41">
        <v>5</v>
      </c>
      <c r="B30" s="107"/>
      <c r="C30" s="42" t="s">
        <v>76</v>
      </c>
      <c r="D30" s="111"/>
      <c r="E30" s="111"/>
      <c r="F30" s="43"/>
    </row>
    <row r="31" spans="1:6" ht="29.4" thickBot="1" x14ac:dyDescent="0.35">
      <c r="A31" s="44">
        <v>6</v>
      </c>
      <c r="B31" s="108"/>
      <c r="C31" s="51" t="s">
        <v>77</v>
      </c>
      <c r="D31" s="116"/>
      <c r="E31" s="116"/>
      <c r="F31" s="46"/>
    </row>
    <row r="32" spans="1:6" ht="46.5" customHeight="1" x14ac:dyDescent="0.3">
      <c r="A32" s="103" t="s">
        <v>58</v>
      </c>
      <c r="B32" s="103"/>
      <c r="C32" s="103"/>
      <c r="D32" s="104" t="s">
        <v>59</v>
      </c>
      <c r="E32" s="104"/>
      <c r="F32" s="104"/>
    </row>
    <row r="33" spans="1:6" x14ac:dyDescent="0.3">
      <c r="A33" s="103" t="s">
        <v>60</v>
      </c>
      <c r="B33" s="103"/>
      <c r="C33" s="103"/>
      <c r="D33" s="104" t="s">
        <v>61</v>
      </c>
      <c r="E33" s="104"/>
      <c r="F33" s="104"/>
    </row>
    <row r="36" spans="1:6" x14ac:dyDescent="0.3">
      <c r="C36" t="s">
        <v>112</v>
      </c>
    </row>
  </sheetData>
  <mergeCells count="38">
    <mergeCell ref="A32:C32"/>
    <mergeCell ref="D32:F32"/>
    <mergeCell ref="A33:C33"/>
    <mergeCell ref="D33:F33"/>
    <mergeCell ref="A23:C23"/>
    <mergeCell ref="D23:F23"/>
    <mergeCell ref="A24:C24"/>
    <mergeCell ref="D24:F24"/>
    <mergeCell ref="B26:B31"/>
    <mergeCell ref="D26:E26"/>
    <mergeCell ref="D27:E27"/>
    <mergeCell ref="D28:E28"/>
    <mergeCell ref="D29:E29"/>
    <mergeCell ref="D30:E30"/>
    <mergeCell ref="D31:E31"/>
    <mergeCell ref="A15:C15"/>
    <mergeCell ref="D15:F15"/>
    <mergeCell ref="B17:B22"/>
    <mergeCell ref="D17:E17"/>
    <mergeCell ref="D18:E18"/>
    <mergeCell ref="D19:E19"/>
    <mergeCell ref="D20:E20"/>
    <mergeCell ref="D21:E21"/>
    <mergeCell ref="D22:E22"/>
    <mergeCell ref="A14:C14"/>
    <mergeCell ref="D14:F14"/>
    <mergeCell ref="A1:F1"/>
    <mergeCell ref="A3:D3"/>
    <mergeCell ref="E3:F3"/>
    <mergeCell ref="A4:D4"/>
    <mergeCell ref="E4:F4"/>
    <mergeCell ref="A5:D5"/>
    <mergeCell ref="E5:F5"/>
    <mergeCell ref="A6:D6"/>
    <mergeCell ref="E6:F6"/>
    <mergeCell ref="A7:C7"/>
    <mergeCell ref="E7:F7"/>
    <mergeCell ref="B9:B13"/>
  </mergeCells>
  <pageMargins left="1.1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Str of concrete</vt:lpstr>
      <vt:lpstr>Cylindrial Tank Capacity</vt:lpstr>
      <vt:lpstr>land area</vt:lpstr>
      <vt:lpstr>SWG to mm</vt:lpstr>
      <vt:lpstr>Pour Card</vt:lpstr>
      <vt:lpstr>'Pour Card'!Print_Area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Govinda</dc:creator>
  <cp:lastModifiedBy>krishna govinda</cp:lastModifiedBy>
  <dcterms:created xsi:type="dcterms:W3CDTF">2018-08-30T09:55:32Z</dcterms:created>
  <dcterms:modified xsi:type="dcterms:W3CDTF">2024-06-11T16:55:36Z</dcterms:modified>
</cp:coreProperties>
</file>